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7858771-A\Desktop\"/>
    </mc:Choice>
  </mc:AlternateContent>
  <bookViews>
    <workbookView xWindow="0" yWindow="0" windowWidth="28800" windowHeight="12585" firstSheet="2" activeTab="3"/>
  </bookViews>
  <sheets>
    <sheet name="Propietats ASPEN" sheetId="5" r:id="rId1"/>
    <sheet name="Fhot tubs (2 pas carcassa)" sheetId="1" r:id="rId2"/>
    <sheet name="Fhot Carc. (2 pas carcassa)" sheetId="6" r:id="rId3"/>
    <sheet name="Fhot tub (1 pas carcassa)" sheetId="7" r:id="rId4"/>
    <sheet name="Fhot Carc. (1 pas carcassa)" sheetId="9" r:id="rId5"/>
  </sheets>
  <calcPr calcId="152511"/>
</workbook>
</file>

<file path=xl/calcChain.xml><?xml version="1.0" encoding="utf-8"?>
<calcChain xmlns="http://schemas.openxmlformats.org/spreadsheetml/2006/main">
  <c r="F8" i="9" l="1"/>
  <c r="F8" i="7"/>
  <c r="B10" i="9"/>
  <c r="B7" i="9"/>
  <c r="B6" i="9"/>
  <c r="C5" i="9"/>
  <c r="B5" i="9"/>
  <c r="B4" i="9"/>
  <c r="B3" i="9"/>
  <c r="B2" i="9"/>
  <c r="B10" i="7"/>
  <c r="B7" i="7"/>
  <c r="B6" i="7"/>
  <c r="C5" i="7"/>
  <c r="B5" i="7"/>
  <c r="B4" i="7"/>
  <c r="B3" i="7"/>
  <c r="B2" i="7"/>
  <c r="B10" i="6"/>
  <c r="B7" i="6"/>
  <c r="B6" i="6"/>
  <c r="C5" i="6"/>
  <c r="B5" i="6"/>
  <c r="B4" i="6"/>
  <c r="B3" i="6"/>
  <c r="B2" i="6"/>
  <c r="F2" i="6" s="1"/>
  <c r="B6" i="1"/>
  <c r="C19" i="5"/>
  <c r="B19" i="5"/>
  <c r="B5" i="1"/>
  <c r="B7" i="1"/>
  <c r="M19" i="9"/>
  <c r="L10" i="9"/>
  <c r="U14" i="9"/>
  <c r="V6" i="9"/>
  <c r="Q6" i="9"/>
  <c r="R6" i="9" s="1"/>
  <c r="L6" i="9"/>
  <c r="U5" i="9"/>
  <c r="H5" i="9"/>
  <c r="H6" i="9" s="1"/>
  <c r="F5" i="9"/>
  <c r="L4" i="9"/>
  <c r="L5" i="9" s="1"/>
  <c r="F4" i="9"/>
  <c r="M3" i="9"/>
  <c r="U2" i="9"/>
  <c r="V2" i="9" s="1"/>
  <c r="L2" i="9"/>
  <c r="H2" i="9"/>
  <c r="F2" i="9"/>
  <c r="M19" i="7"/>
  <c r="U14" i="7"/>
  <c r="L10" i="7"/>
  <c r="F5" i="7"/>
  <c r="V6" i="7"/>
  <c r="L6" i="7"/>
  <c r="U5" i="7"/>
  <c r="H5" i="7"/>
  <c r="H6" i="7" s="1"/>
  <c r="F4" i="7"/>
  <c r="L4" i="7"/>
  <c r="L5" i="7" s="1"/>
  <c r="M3" i="7"/>
  <c r="U2" i="7"/>
  <c r="V2" i="7" s="1"/>
  <c r="L2" i="7"/>
  <c r="H2" i="7"/>
  <c r="V6" i="6"/>
  <c r="V6" i="1"/>
  <c r="Q6" i="6"/>
  <c r="R6" i="6" s="1"/>
  <c r="L10" i="6"/>
  <c r="F5" i="6"/>
  <c r="L6" i="6"/>
  <c r="L23" i="6" s="1"/>
  <c r="U5" i="6"/>
  <c r="H5" i="6"/>
  <c r="H6" i="6" s="1"/>
  <c r="F4" i="6"/>
  <c r="L4" i="6"/>
  <c r="M3" i="6"/>
  <c r="F3" i="6"/>
  <c r="U2" i="6"/>
  <c r="V2" i="6" s="1"/>
  <c r="L2" i="6"/>
  <c r="H2" i="6"/>
  <c r="M3" i="1"/>
  <c r="B4" i="1"/>
  <c r="L10" i="1"/>
  <c r="H5" i="1"/>
  <c r="H6" i="1" s="1"/>
  <c r="H2" i="1"/>
  <c r="Q6" i="1"/>
  <c r="R6" i="1" s="1"/>
  <c r="F4" i="1"/>
  <c r="B3" i="1"/>
  <c r="F3" i="1" s="1"/>
  <c r="B2" i="1"/>
  <c r="F2" i="1" s="1"/>
  <c r="L4" i="1"/>
  <c r="L12" i="1" s="1"/>
  <c r="L13" i="1" s="1"/>
  <c r="L16" i="1" s="1"/>
  <c r="U10" i="1" s="1"/>
  <c r="L2" i="1"/>
  <c r="Q2" i="1" s="1"/>
  <c r="L6" i="1"/>
  <c r="L23" i="1" s="1"/>
  <c r="U14" i="1"/>
  <c r="U5" i="1"/>
  <c r="B10" i="1"/>
  <c r="C5" i="1"/>
  <c r="F6" i="9" l="1"/>
  <c r="F6" i="6"/>
  <c r="F6" i="7"/>
  <c r="F3" i="7" s="1"/>
  <c r="F3" i="9"/>
  <c r="F8" i="6"/>
  <c r="H3" i="6" s="1"/>
  <c r="C3" i="6" s="1"/>
  <c r="L21" i="7"/>
  <c r="AB7" i="7" s="1"/>
  <c r="U22" i="6"/>
  <c r="F2" i="7"/>
  <c r="Q6" i="7"/>
  <c r="R6" i="7" s="1"/>
  <c r="L21" i="9"/>
  <c r="AB7" i="9" s="1"/>
  <c r="Q3" i="1"/>
  <c r="R3" i="1" s="1"/>
  <c r="U14" i="6"/>
  <c r="AB13" i="9"/>
  <c r="AB14" i="9"/>
  <c r="L23" i="9"/>
  <c r="Q2" i="9"/>
  <c r="Q3" i="9" s="1"/>
  <c r="L12" i="9"/>
  <c r="AB15" i="9"/>
  <c r="U22" i="9"/>
  <c r="L3" i="9"/>
  <c r="L23" i="7"/>
  <c r="AB13" i="7"/>
  <c r="U22" i="7"/>
  <c r="AB14" i="7"/>
  <c r="Q2" i="7"/>
  <c r="Q3" i="7" s="1"/>
  <c r="R3" i="7" s="1"/>
  <c r="H3" i="7"/>
  <c r="C3" i="7" s="1"/>
  <c r="L12" i="7"/>
  <c r="AB15" i="7"/>
  <c r="L3" i="7"/>
  <c r="U22" i="1"/>
  <c r="AB15" i="1"/>
  <c r="AB15" i="6"/>
  <c r="AB13" i="6"/>
  <c r="AB13" i="1"/>
  <c r="L3" i="6"/>
  <c r="AB14" i="6"/>
  <c r="L3" i="1"/>
  <c r="Q2" i="6"/>
  <c r="Q3" i="6" s="1"/>
  <c r="L12" i="6"/>
  <c r="L5" i="6"/>
  <c r="L21" i="6" s="1"/>
  <c r="AB7" i="6" s="1"/>
  <c r="F5" i="1"/>
  <c r="F6" i="1" s="1"/>
  <c r="F8" i="1" s="1"/>
  <c r="H3" i="1" s="1"/>
  <c r="F17" i="1"/>
  <c r="U8" i="1"/>
  <c r="L14" i="1"/>
  <c r="U2" i="1"/>
  <c r="V2" i="1" s="1"/>
  <c r="AB14" i="1"/>
  <c r="U9" i="1"/>
  <c r="U7" i="1"/>
  <c r="U12" i="1" s="1"/>
  <c r="U13" i="1" s="1"/>
  <c r="L5" i="1"/>
  <c r="Q13" i="1" l="1"/>
  <c r="F17" i="7"/>
  <c r="Q13" i="9"/>
  <c r="R3" i="9"/>
  <c r="Q5" i="9"/>
  <c r="U7" i="9"/>
  <c r="U12" i="9" s="1"/>
  <c r="U8" i="9"/>
  <c r="L14" i="9"/>
  <c r="U9" i="9"/>
  <c r="L13" i="9"/>
  <c r="L16" i="9" s="1"/>
  <c r="U10" i="9" s="1"/>
  <c r="H3" i="9"/>
  <c r="C3" i="9" s="1"/>
  <c r="Q13" i="7"/>
  <c r="Q5" i="7"/>
  <c r="Q11" i="7" s="1"/>
  <c r="U7" i="7"/>
  <c r="U12" i="7" s="1"/>
  <c r="U8" i="7"/>
  <c r="L14" i="7"/>
  <c r="U9" i="7"/>
  <c r="L13" i="7"/>
  <c r="L16" i="7" s="1"/>
  <c r="U10" i="7" s="1"/>
  <c r="F18" i="7"/>
  <c r="F9" i="7"/>
  <c r="V13" i="1"/>
  <c r="U15" i="1"/>
  <c r="U16" i="1" s="1"/>
  <c r="AB16" i="1" s="1"/>
  <c r="F18" i="6"/>
  <c r="F17" i="6"/>
  <c r="Q5" i="6"/>
  <c r="R5" i="6" s="1"/>
  <c r="Q13" i="6"/>
  <c r="F9" i="6"/>
  <c r="L14" i="6"/>
  <c r="U7" i="6"/>
  <c r="U12" i="6" s="1"/>
  <c r="U9" i="6"/>
  <c r="U8" i="6"/>
  <c r="L13" i="6"/>
  <c r="L16" i="6" s="1"/>
  <c r="U10" i="6" s="1"/>
  <c r="R3" i="6"/>
  <c r="L21" i="1"/>
  <c r="AB7" i="1" s="1"/>
  <c r="Q5" i="1"/>
  <c r="R5" i="1" s="1"/>
  <c r="U21" i="1"/>
  <c r="U19" i="1" s="1"/>
  <c r="U20" i="1" s="1"/>
  <c r="F19" i="6" l="1"/>
  <c r="F14" i="6" s="1"/>
  <c r="F20" i="6"/>
  <c r="F17" i="9"/>
  <c r="F9" i="9"/>
  <c r="F18" i="9"/>
  <c r="Q11" i="9"/>
  <c r="R5" i="9"/>
  <c r="U13" i="9"/>
  <c r="R5" i="7"/>
  <c r="F20" i="7"/>
  <c r="F19" i="7"/>
  <c r="U13" i="7"/>
  <c r="Q12" i="7"/>
  <c r="Q14" i="7" s="1"/>
  <c r="Q15" i="7" s="1"/>
  <c r="Q7" i="7"/>
  <c r="Q8" i="7" s="1"/>
  <c r="U13" i="6"/>
  <c r="Q11" i="6"/>
  <c r="Q11" i="1"/>
  <c r="Q12" i="1" s="1"/>
  <c r="F15" i="6" l="1"/>
  <c r="F11" i="6" s="1"/>
  <c r="G11" i="6" s="1"/>
  <c r="Q12" i="9"/>
  <c r="Q14" i="9" s="1"/>
  <c r="Q15" i="9" s="1"/>
  <c r="Q7" i="9"/>
  <c r="Q8" i="9" s="1"/>
  <c r="F19" i="9"/>
  <c r="F14" i="9" s="1"/>
  <c r="F20" i="9"/>
  <c r="U21" i="9"/>
  <c r="U19" i="9" s="1"/>
  <c r="U20" i="9" s="1"/>
  <c r="U15" i="9"/>
  <c r="U16" i="9" s="1"/>
  <c r="V13" i="9"/>
  <c r="F15" i="7"/>
  <c r="F14" i="7"/>
  <c r="U21" i="7"/>
  <c r="U19" i="7" s="1"/>
  <c r="U20" i="7" s="1"/>
  <c r="U15" i="7"/>
  <c r="U16" i="7" s="1"/>
  <c r="V13" i="7"/>
  <c r="Q9" i="7"/>
  <c r="AB12" i="7"/>
  <c r="V13" i="6"/>
  <c r="U15" i="6"/>
  <c r="Q7" i="6"/>
  <c r="Q8" i="6" s="1"/>
  <c r="Q9" i="6" s="1"/>
  <c r="Q12" i="6"/>
  <c r="Q14" i="6" s="1"/>
  <c r="Q15" i="6" s="1"/>
  <c r="Q14" i="1"/>
  <c r="Q15" i="1" s="1"/>
  <c r="Q7" i="1"/>
  <c r="Q8" i="1" s="1"/>
  <c r="F12" i="6"/>
  <c r="L8" i="6" s="1"/>
  <c r="U21" i="6"/>
  <c r="F9" i="1"/>
  <c r="C3" i="1"/>
  <c r="F18" i="1"/>
  <c r="F11" i="7" l="1"/>
  <c r="F12" i="7" s="1"/>
  <c r="L8" i="7" s="1"/>
  <c r="F15" i="9"/>
  <c r="F11" i="9" s="1"/>
  <c r="F12" i="9" s="1"/>
  <c r="L8" i="9" s="1"/>
  <c r="AB16" i="9"/>
  <c r="Q9" i="9"/>
  <c r="U17" i="9" s="1"/>
  <c r="AB12" i="9"/>
  <c r="U17" i="7"/>
  <c r="AB16" i="7"/>
  <c r="AB3" i="7" s="1"/>
  <c r="AB12" i="6"/>
  <c r="U19" i="6"/>
  <c r="U20" i="6" s="1"/>
  <c r="U16" i="6"/>
  <c r="AB16" i="6" s="1"/>
  <c r="AB12" i="1"/>
  <c r="Q9" i="1"/>
  <c r="U17" i="1" s="1"/>
  <c r="F20" i="1"/>
  <c r="F19" i="1"/>
  <c r="F14" i="1" s="1"/>
  <c r="G11" i="7" l="1"/>
  <c r="G11" i="9"/>
  <c r="AB3" i="9"/>
  <c r="AB17" i="9"/>
  <c r="AC12" i="9" s="1"/>
  <c r="AB17" i="7"/>
  <c r="AC16" i="7" s="1"/>
  <c r="AB3" i="6"/>
  <c r="U17" i="6"/>
  <c r="AB17" i="6"/>
  <c r="AC12" i="6" s="1"/>
  <c r="AB17" i="1"/>
  <c r="AB3" i="1"/>
  <c r="F15" i="1"/>
  <c r="F11" i="1" s="1"/>
  <c r="AB4" i="9" l="1"/>
  <c r="AB6" i="9" s="1"/>
  <c r="AB8" i="9" s="1"/>
  <c r="AC8" i="9" s="1"/>
  <c r="AC13" i="9"/>
  <c r="AC14" i="9"/>
  <c r="AC15" i="9"/>
  <c r="AC16" i="9"/>
  <c r="AB4" i="7"/>
  <c r="AB6" i="7" s="1"/>
  <c r="AB8" i="7" s="1"/>
  <c r="AC8" i="7" s="1"/>
  <c r="AC14" i="7"/>
  <c r="AC13" i="7"/>
  <c r="AC15" i="7"/>
  <c r="AC12" i="7"/>
  <c r="AB4" i="6"/>
  <c r="AB6" i="6" s="1"/>
  <c r="AB8" i="6" s="1"/>
  <c r="AC8" i="6" s="1"/>
  <c r="AC16" i="6"/>
  <c r="AC14" i="6"/>
  <c r="AC15" i="6"/>
  <c r="AC13" i="6"/>
  <c r="AC13" i="1"/>
  <c r="AC15" i="1"/>
  <c r="AC14" i="1"/>
  <c r="AB4" i="1"/>
  <c r="AB6" i="1" s="1"/>
  <c r="AC16" i="1"/>
  <c r="AC12" i="1"/>
  <c r="G11" i="1"/>
  <c r="F12" i="1"/>
  <c r="L8" i="1" s="1"/>
  <c r="AB8" i="1" l="1"/>
  <c r="AC8" i="1" s="1"/>
</calcChain>
</file>

<file path=xl/sharedStrings.xml><?xml version="1.0" encoding="utf-8"?>
<sst xmlns="http://schemas.openxmlformats.org/spreadsheetml/2006/main" count="548" uniqueCount="150">
  <si>
    <t>WATER</t>
  </si>
  <si>
    <t>BENZENE</t>
  </si>
  <si>
    <t>HYDROGEN</t>
  </si>
  <si>
    <t>CYCLHEXA</t>
  </si>
  <si>
    <t>OXYGEN</t>
  </si>
  <si>
    <t>NITROGEN</t>
  </si>
  <si>
    <t>METHANE</t>
  </si>
  <si>
    <t>CO2</t>
  </si>
  <si>
    <t>Total Flow kg/hr</t>
  </si>
  <si>
    <t>Temperature C</t>
  </si>
  <si>
    <t>Pressure bar</t>
  </si>
  <si>
    <t>Tin (ºC)</t>
  </si>
  <si>
    <t>Tout (ºC)</t>
  </si>
  <si>
    <t>Tref in (ºC)</t>
  </si>
  <si>
    <t>Tref out (ºC)</t>
  </si>
  <si>
    <t>Cabal procés (kg/s)</t>
  </si>
  <si>
    <t>Cabal refrigerant (kg/s)</t>
  </si>
  <si>
    <t>cp refrigerant (kJ/kg·K)</t>
  </si>
  <si>
    <t>cp procés (kJ/kg·k)</t>
  </si>
  <si>
    <t>Q procés (kW)</t>
  </si>
  <si>
    <t>CP procés (kW/K)</t>
  </si>
  <si>
    <t>CP refrigerant (kW/K)</t>
  </si>
  <si>
    <r>
      <rPr>
        <sz val="11"/>
        <color theme="1"/>
        <rFont val="Times New Roman"/>
        <family val="1"/>
      </rPr>
      <t>ΔT</t>
    </r>
    <r>
      <rPr>
        <sz val="11"/>
        <color theme="1"/>
        <rFont val="Calibri"/>
        <family val="2"/>
      </rPr>
      <t>log mitjana</t>
    </r>
  </si>
  <si>
    <t>U suposada (W/m2·K)</t>
  </si>
  <si>
    <t>Estimació Àrea (m2)</t>
  </si>
  <si>
    <t>P</t>
  </si>
  <si>
    <t>R</t>
  </si>
  <si>
    <t>F (two shell pass)</t>
  </si>
  <si>
    <t>F (one shell pass)</t>
  </si>
  <si>
    <t>Shell pass</t>
  </si>
  <si>
    <t>F utilitzada</t>
  </si>
  <si>
    <t>A</t>
  </si>
  <si>
    <t>B</t>
  </si>
  <si>
    <t xml:space="preserve">Entrada </t>
  </si>
  <si>
    <t>Sortida</t>
  </si>
  <si>
    <t>Diàmetre interior (m)</t>
  </si>
  <si>
    <t>Diàmetre exterior (m)</t>
  </si>
  <si>
    <t>Espessor paret tub (m)</t>
  </si>
  <si>
    <t>Longitud (m)</t>
  </si>
  <si>
    <t>Pitch</t>
  </si>
  <si>
    <t>Geometria seleccionada</t>
  </si>
  <si>
    <t>Quadrat</t>
  </si>
  <si>
    <t>Triangle</t>
  </si>
  <si>
    <t>Ntubs reals</t>
  </si>
  <si>
    <t>in</t>
  </si>
  <si>
    <t>Diàmetre carcassa real (m)</t>
  </si>
  <si>
    <t>A intercanvi real (m2)</t>
  </si>
  <si>
    <t>Fluid</t>
  </si>
  <si>
    <t>Procés (calent)</t>
  </si>
  <si>
    <t>Refriger (fred)</t>
  </si>
  <si>
    <t>T entrada (ºC)</t>
  </si>
  <si>
    <t>T sortida (ºC)</t>
  </si>
  <si>
    <t>Cabal (kg/s)</t>
  </si>
  <si>
    <t>Densitat (kg/m3)</t>
  </si>
  <si>
    <t>Cp (kJ/kg·K)</t>
  </si>
  <si>
    <t>Viscositat (Pa·s)</t>
  </si>
  <si>
    <t>Fouling (m2·K/W)</t>
  </si>
  <si>
    <t>f</t>
  </si>
  <si>
    <t>c' (m)</t>
  </si>
  <si>
    <t>Nc'</t>
  </si>
  <si>
    <t>DH (m)</t>
  </si>
  <si>
    <t>V carcassa (m/s)</t>
  </si>
  <si>
    <t>h carcassa (W/m2·K)</t>
  </si>
  <si>
    <t>(N+1)</t>
  </si>
  <si>
    <t>ft</t>
  </si>
  <si>
    <t>N pasos carcassa</t>
  </si>
  <si>
    <t>N pasos tubs</t>
  </si>
  <si>
    <t>Tria 1 o 2 pasos per carcasa</t>
  </si>
  <si>
    <t>Calcul de la F, segons 1 o 2 pasos per carcasa</t>
  </si>
  <si>
    <t>Correlacions per calcular la F numèricament</t>
  </si>
  <si>
    <t>1. Balanç d'Energia i Perfil de Temperatura. Càlcul de l'àrea aproximada del bescanviador</t>
  </si>
  <si>
    <t>Valors que s'ha de triar</t>
  </si>
  <si>
    <t>De taules o per triar dues opcions</t>
  </si>
  <si>
    <t>Àrea un tub/metre longitud (m2/m)</t>
  </si>
  <si>
    <t>N tubs per carcassa</t>
  </si>
  <si>
    <t>DH Disposició quadrada</t>
  </si>
  <si>
    <t>DH Disposició triangular</t>
  </si>
  <si>
    <t>Triar (4) per Quadrat o (3) per Triangle</t>
  </si>
  <si>
    <t>DH de la configuració triada</t>
  </si>
  <si>
    <t>Apas tubs (m2)</t>
  </si>
  <si>
    <t>Vel. tubs (m/s)</t>
  </si>
  <si>
    <t>Re tub</t>
  </si>
  <si>
    <t>Pr tub</t>
  </si>
  <si>
    <t>Nu (correlació)</t>
  </si>
  <si>
    <t>h tub (W/m2·K)</t>
  </si>
  <si>
    <t>h tub out (W/m2·K)</t>
  </si>
  <si>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  <scheme val="minor"/>
      </rPr>
      <t>Ptub (Pa)</t>
    </r>
  </si>
  <si>
    <t>ΔP per canvi pas (Pa)</t>
  </si>
  <si>
    <t>ΔP total tubs (Pa)</t>
  </si>
  <si>
    <t>ΔP total tubs (bar)</t>
  </si>
  <si>
    <t>k1 (constant)</t>
  </si>
  <si>
    <t>a (constant)</t>
  </si>
  <si>
    <t>Db: Diàmetre feix tubs (m)</t>
  </si>
  <si>
    <t>B: Separació baffles (m)</t>
  </si>
  <si>
    <t>Z: Densitat baffles</t>
  </si>
  <si>
    <t>Apas Carcassa (m2)</t>
  </si>
  <si>
    <t>Té en compte si hi ha baffle longitudinal per separar en 2 carcasses</t>
  </si>
  <si>
    <t>Re carcassa</t>
  </si>
  <si>
    <t>Pr carcassa</t>
  </si>
  <si>
    <t>Tw: Temperatura paret (ºC)</t>
  </si>
  <si>
    <r>
      <rPr>
        <sz val="11"/>
        <color theme="1"/>
        <rFont val="Times New Roman"/>
        <family val="1"/>
      </rPr>
      <t xml:space="preserve">ΔP </t>
    </r>
    <r>
      <rPr>
        <sz val="11"/>
        <color theme="1"/>
        <rFont val="Calibri"/>
        <family val="2"/>
        <scheme val="minor"/>
      </rPr>
      <t>carcassa (Pa)</t>
    </r>
  </si>
  <si>
    <t>ΔP carcassa (bar)</t>
  </si>
  <si>
    <t>U net (W/m2·K)</t>
  </si>
  <si>
    <t>U servei (W(m2·K)</t>
  </si>
  <si>
    <t>R fouling interior tub</t>
  </si>
  <si>
    <t>R conducció paret</t>
  </si>
  <si>
    <t>R fouling exterior tub</t>
  </si>
  <si>
    <t>R convecció exterior tub</t>
  </si>
  <si>
    <t>R convecció interior tub</t>
  </si>
  <si>
    <t>Resistències (% global)</t>
  </si>
  <si>
    <t xml:space="preserve">R total </t>
  </si>
  <si>
    <t>A requerida (m2)</t>
  </si>
  <si>
    <t>A disseny bescanviador(m2)</t>
  </si>
  <si>
    <t>Pressió entrada (bar)</t>
  </si>
  <si>
    <t>Comprovació de restriccions</t>
  </si>
  <si>
    <t>de disseny</t>
  </si>
  <si>
    <t>F&gt;0,8?</t>
  </si>
  <si>
    <t>Diàmetre carcassa/Long tub</t>
  </si>
  <si>
    <t>5&lt;D/L&lt;10</t>
  </si>
  <si>
    <t>1&lt;Vtub&lt;2</t>
  </si>
  <si>
    <t>2&lt;Z&lt;5</t>
  </si>
  <si>
    <t>D int&gt;0,5 in</t>
  </si>
  <si>
    <t>2. Seleccionar tipus de Tub i Carcassa de taules estàndard</t>
  </si>
  <si>
    <t>3. Càlcul d'energia i pèrdua de càrrega per tubs</t>
  </si>
  <si>
    <t>4. Càlcul d'energia i pèrdua de càrrega per carcassa</t>
  </si>
  <si>
    <t>5. Càlcul Coeficient global i comprovació del bescanviador</t>
  </si>
  <si>
    <t>5.1 Càlcul resistències</t>
  </si>
  <si>
    <t>(10&lt;Sobreesp&lt;15) %</t>
  </si>
  <si>
    <t>k (W/m·K)</t>
  </si>
  <si>
    <t>Fluids poc viscosos (aigua i ciclohexà)</t>
  </si>
  <si>
    <t>0.5&lt;Pr&lt;1·10^6</t>
  </si>
  <si>
    <t>4000&lt;Re&lt;5*10^6</t>
  </si>
  <si>
    <t>4000&lt;Re&lt;5·10^6</t>
  </si>
  <si>
    <t>2000&lt;Re&lt;1·10^6</t>
  </si>
  <si>
    <t>k (Acer) (W/m·K)</t>
  </si>
  <si>
    <t>% Sobredimensionament</t>
  </si>
  <si>
    <t>Fluid Calent</t>
  </si>
  <si>
    <t>Tubs</t>
  </si>
  <si>
    <t>Tipus Carcassa</t>
  </si>
  <si>
    <t xml:space="preserve">(F)  </t>
  </si>
  <si>
    <t>baffle longitudinal</t>
  </si>
  <si>
    <t>Carcassa</t>
  </si>
  <si>
    <t xml:space="preserve">(E)  </t>
  </si>
  <si>
    <t>2 en sèrie</t>
  </si>
  <si>
    <t>Mole Flow kmol/hr</t>
  </si>
  <si>
    <t>CYCLHOL</t>
  </si>
  <si>
    <t>CYCLHONA</t>
  </si>
  <si>
    <t>Total Flow kmol/hr</t>
  </si>
  <si>
    <t>Total Flow l/min</t>
  </si>
  <si>
    <t>CP (kJ/kg)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</si>
</sst>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0"/>
    <numFmt numFmtId="167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3" borderId="0" xfId="0" applyFill="1"/>
    <xf numFmtId="0" fontId="0" fillId="0" borderId="1" xfId="0" applyBorder="1"/>
    <xf numFmtId="165" fontId="0" fillId="0" borderId="1" xfId="0" applyNumberFormat="1" applyBorder="1"/>
    <xf numFmtId="165" fontId="0" fillId="2" borderId="1" xfId="0" applyNumberFormat="1" applyFill="1" applyBorder="1"/>
    <xf numFmtId="164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2" borderId="1" xfId="0" applyFill="1" applyBorder="1"/>
    <xf numFmtId="166" fontId="0" fillId="0" borderId="1" xfId="0" applyNumberFormat="1" applyBorder="1"/>
    <xf numFmtId="167" fontId="0" fillId="0" borderId="1" xfId="0" applyNumberFormat="1" applyFill="1" applyBorder="1"/>
    <xf numFmtId="2" fontId="0" fillId="0" borderId="1" xfId="0" applyNumberFormat="1" applyFill="1" applyBorder="1"/>
    <xf numFmtId="167" fontId="0" fillId="0" borderId="1" xfId="0" applyNumberFormat="1" applyBorder="1"/>
    <xf numFmtId="1" fontId="0" fillId="0" borderId="1" xfId="0" applyNumberFormat="1" applyBorder="1"/>
    <xf numFmtId="0" fontId="0" fillId="0" borderId="1" xfId="0" applyNumberFormat="1" applyBorder="1"/>
    <xf numFmtId="0" fontId="0" fillId="4" borderId="1" xfId="0" applyFill="1" applyBorder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0" borderId="1" xfId="0" applyNumberFormat="1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Perfil de Temperatura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Procés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'Fhot tubs (2 pas carcassa)'!$F$2:$F$3</c:f>
              <c:numCache>
                <c:formatCode>0.0</c:formatCode>
                <c:ptCount val="2"/>
                <c:pt idx="0">
                  <c:v>57.776090000000003</c:v>
                </c:pt>
                <c:pt idx="1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v>Refrigerant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xVal>
          <c:yVal>
            <c:numRef>
              <c:f>'Fhot tubs (2 pas carcassa)'!$H$2:$H$3</c:f>
              <c:numCache>
                <c:formatCode>0.0</c:formatCode>
                <c:ptCount val="2"/>
                <c:pt idx="0" formatCode="General">
                  <c:v>15</c:v>
                </c:pt>
                <c:pt idx="1">
                  <c:v>32.279838134220491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444864"/>
        <c:axId val="272445424"/>
      </c:scatterChart>
      <c:valAx>
        <c:axId val="27244486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Longitud</a:t>
                </a:r>
                <a:r>
                  <a:rPr lang="es-ES" baseline="0"/>
                  <a:t> (no escala)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2445424"/>
        <c:crosses val="autoZero"/>
        <c:crossBetween val="midCat"/>
        <c:majorUnit val="0.2"/>
        <c:minorUnit val="4.0000000000000022E-2"/>
      </c:valAx>
      <c:valAx>
        <c:axId val="27244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Temperatura (ºC)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72444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Perfil de Temperatura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Procés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'Fhot Carc. (2 pas carcassa)'!$F$2:$F$3</c:f>
              <c:numCache>
                <c:formatCode>0.0</c:formatCode>
                <c:ptCount val="2"/>
                <c:pt idx="0">
                  <c:v>57.776090000000003</c:v>
                </c:pt>
                <c:pt idx="1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v>Refrigerant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xVal>
          <c:yVal>
            <c:numRef>
              <c:f>'Fhot Carc. (2 pas carcassa)'!$H$2:$H$3</c:f>
              <c:numCache>
                <c:formatCode>0.0</c:formatCode>
                <c:ptCount val="2"/>
                <c:pt idx="0" formatCode="General">
                  <c:v>15</c:v>
                </c:pt>
                <c:pt idx="1">
                  <c:v>32.279838134220491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21936"/>
        <c:axId val="274622496"/>
      </c:scatterChart>
      <c:valAx>
        <c:axId val="27462193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Longitud</a:t>
                </a:r>
                <a:r>
                  <a:rPr lang="es-ES" baseline="0"/>
                  <a:t> (no escala)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622496"/>
        <c:crosses val="autoZero"/>
        <c:crossBetween val="midCat"/>
        <c:majorUnit val="0.2"/>
        <c:minorUnit val="4.0000000000000022E-2"/>
      </c:valAx>
      <c:valAx>
        <c:axId val="274622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Temperatura (ºC)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74621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Perfil de Temperatura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Procés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'Fhot tub (1 pas carcassa)'!$F$2:$F$3</c:f>
              <c:numCache>
                <c:formatCode>0.0</c:formatCode>
                <c:ptCount val="2"/>
                <c:pt idx="0">
                  <c:v>57.776090000000003</c:v>
                </c:pt>
                <c:pt idx="1">
                  <c:v>41.387103780136293</c:v>
                </c:pt>
              </c:numCache>
            </c:numRef>
          </c:yVal>
          <c:smooth val="0"/>
        </c:ser>
        <c:ser>
          <c:idx val="1"/>
          <c:order val="1"/>
          <c:tx>
            <c:v>Refrigerant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xVal>
          <c:yVal>
            <c:numRef>
              <c:f>'Fhot tub (1 pas carcassa)'!$H$2:$H$3</c:f>
              <c:numCache>
                <c:formatCode>0.0</c:formatCode>
                <c:ptCount val="2"/>
                <c:pt idx="0" formatCode="General">
                  <c:v>15</c:v>
                </c:pt>
                <c:pt idx="1">
                  <c:v>23.640415286363172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49904"/>
        <c:axId val="275750464"/>
      </c:scatterChart>
      <c:valAx>
        <c:axId val="27574990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Longitud</a:t>
                </a:r>
                <a:r>
                  <a:rPr lang="es-ES" baseline="0"/>
                  <a:t> (no escala)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5750464"/>
        <c:crosses val="autoZero"/>
        <c:crossBetween val="midCat"/>
        <c:majorUnit val="0.2"/>
        <c:minorUnit val="4.0000000000000022E-2"/>
      </c:valAx>
      <c:valAx>
        <c:axId val="275750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Temperatura (ºC)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75749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Perfil de Temperatura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Procés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Ref>
              <c:f>'Fhot Carc. (1 pas carcassa)'!$F$2:$F$3</c:f>
              <c:numCache>
                <c:formatCode>0.0</c:formatCode>
                <c:ptCount val="2"/>
                <c:pt idx="0">
                  <c:v>57.776090000000003</c:v>
                </c:pt>
                <c:pt idx="1">
                  <c:v>41.387103780136293</c:v>
                </c:pt>
              </c:numCache>
            </c:numRef>
          </c:yVal>
          <c:smooth val="0"/>
        </c:ser>
        <c:ser>
          <c:idx val="1"/>
          <c:order val="1"/>
          <c:tx>
            <c:v>Refrigerant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xVal>
          <c:yVal>
            <c:numRef>
              <c:f>'Fhot Carc. (1 pas carcassa)'!$H$2:$H$3</c:f>
              <c:numCache>
                <c:formatCode>0.0</c:formatCode>
                <c:ptCount val="2"/>
                <c:pt idx="0" formatCode="General">
                  <c:v>15</c:v>
                </c:pt>
                <c:pt idx="1">
                  <c:v>23.640415286363172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856480"/>
        <c:axId val="275857040"/>
      </c:scatterChart>
      <c:valAx>
        <c:axId val="27585648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Longitud</a:t>
                </a:r>
                <a:r>
                  <a:rPr lang="es-ES" baseline="0"/>
                  <a:t> (no escala)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5857040"/>
        <c:crosses val="autoZero"/>
        <c:crossBetween val="midCat"/>
        <c:majorUnit val="0.2"/>
        <c:minorUnit val="4.0000000000000022E-2"/>
      </c:valAx>
      <c:valAx>
        <c:axId val="27585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Temperatura (ºC)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75856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21</xdr:row>
      <xdr:rowOff>104775</xdr:rowOff>
    </xdr:from>
    <xdr:to>
      <xdr:col>8</xdr:col>
      <xdr:colOff>400050</xdr:colOff>
      <xdr:row>35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21</xdr:row>
      <xdr:rowOff>104775</xdr:rowOff>
    </xdr:from>
    <xdr:to>
      <xdr:col>8</xdr:col>
      <xdr:colOff>400050</xdr:colOff>
      <xdr:row>35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21</xdr:row>
      <xdr:rowOff>104775</xdr:rowOff>
    </xdr:from>
    <xdr:to>
      <xdr:col>8</xdr:col>
      <xdr:colOff>400050</xdr:colOff>
      <xdr:row>35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21</xdr:row>
      <xdr:rowOff>104775</xdr:rowOff>
    </xdr:from>
    <xdr:to>
      <xdr:col>8</xdr:col>
      <xdr:colOff>400050</xdr:colOff>
      <xdr:row>35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0" sqref="C20"/>
    </sheetView>
  </sheetViews>
  <sheetFormatPr baseColWidth="10" defaultRowHeight="15" x14ac:dyDescent="0.25"/>
  <cols>
    <col min="1" max="1" width="17.28515625" bestFit="1" customWidth="1"/>
  </cols>
  <sheetData>
    <row r="1" spans="1:3" x14ac:dyDescent="0.25">
      <c r="A1" s="2"/>
      <c r="B1" s="2" t="s">
        <v>33</v>
      </c>
      <c r="C1" s="2" t="s">
        <v>34</v>
      </c>
    </row>
    <row r="2" spans="1:3" x14ac:dyDescent="0.25">
      <c r="A2" s="2" t="s">
        <v>144</v>
      </c>
      <c r="B2" s="1"/>
      <c r="C2" s="1"/>
    </row>
    <row r="3" spans="1:3" x14ac:dyDescent="0.25">
      <c r="A3" s="2" t="s">
        <v>0</v>
      </c>
      <c r="B3" s="3">
        <v>0.17787520000000001</v>
      </c>
      <c r="C3" s="3">
        <v>0.17787520000000001</v>
      </c>
    </row>
    <row r="4" spans="1:3" x14ac:dyDescent="0.25">
      <c r="A4" s="2" t="s">
        <v>1</v>
      </c>
      <c r="B4" s="3">
        <v>1.817866</v>
      </c>
      <c r="C4" s="3">
        <v>1.817866</v>
      </c>
    </row>
    <row r="5" spans="1:3" x14ac:dyDescent="0.25">
      <c r="A5" s="2" t="s">
        <v>2</v>
      </c>
      <c r="B5" s="3">
        <v>1.637807</v>
      </c>
      <c r="C5" s="3">
        <v>1.637807</v>
      </c>
    </row>
    <row r="6" spans="1:3" x14ac:dyDescent="0.25">
      <c r="A6" s="2" t="s">
        <v>3</v>
      </c>
      <c r="B6" s="5">
        <v>365.61430000000001</v>
      </c>
      <c r="C6" s="5">
        <v>365.61430000000001</v>
      </c>
    </row>
    <row r="7" spans="1:3" x14ac:dyDescent="0.25">
      <c r="A7" s="2" t="s">
        <v>145</v>
      </c>
      <c r="B7" s="3">
        <v>0</v>
      </c>
      <c r="C7" s="3">
        <v>0</v>
      </c>
    </row>
    <row r="8" spans="1:3" x14ac:dyDescent="0.25">
      <c r="A8" s="2" t="s">
        <v>146</v>
      </c>
      <c r="B8" s="3">
        <v>0</v>
      </c>
      <c r="C8" s="3">
        <v>0</v>
      </c>
    </row>
    <row r="9" spans="1:3" x14ac:dyDescent="0.25">
      <c r="A9" s="2" t="s">
        <v>4</v>
      </c>
      <c r="B9" s="3">
        <v>4.6273400000000002E-4</v>
      </c>
      <c r="C9" s="3">
        <v>4.6273400000000002E-4</v>
      </c>
    </row>
    <row r="10" spans="1:3" x14ac:dyDescent="0.25">
      <c r="A10" s="2" t="s">
        <v>5</v>
      </c>
      <c r="B10" s="3">
        <v>7.7537700000000001E-3</v>
      </c>
      <c r="C10" s="3">
        <v>7.7537700000000001E-3</v>
      </c>
    </row>
    <row r="11" spans="1:3" x14ac:dyDescent="0.25">
      <c r="A11" s="2" t="s">
        <v>6</v>
      </c>
      <c r="B11" s="6">
        <v>0.5195419</v>
      </c>
      <c r="C11" s="6">
        <v>0.5195419</v>
      </c>
    </row>
    <row r="12" spans="1:3" x14ac:dyDescent="0.25">
      <c r="A12" s="2" t="s">
        <v>7</v>
      </c>
      <c r="B12" s="3">
        <v>0</v>
      </c>
      <c r="C12" s="3">
        <v>0</v>
      </c>
    </row>
    <row r="13" spans="1:3" x14ac:dyDescent="0.25">
      <c r="A13" s="2" t="s">
        <v>147</v>
      </c>
      <c r="B13" s="5">
        <v>369.7756</v>
      </c>
      <c r="C13" s="5">
        <v>369.7756</v>
      </c>
    </row>
    <row r="14" spans="1:3" x14ac:dyDescent="0.25">
      <c r="A14" s="2" t="s">
        <v>8</v>
      </c>
      <c r="B14" s="3">
        <v>30927.64</v>
      </c>
      <c r="C14" s="3">
        <v>30927.64</v>
      </c>
    </row>
    <row r="15" spans="1:3" x14ac:dyDescent="0.25">
      <c r="A15" s="2" t="s">
        <v>148</v>
      </c>
      <c r="B15" s="4">
        <v>799.04349999999999</v>
      </c>
      <c r="C15" s="4">
        <v>775.87900000000002</v>
      </c>
    </row>
    <row r="16" spans="1:3" x14ac:dyDescent="0.25">
      <c r="A16" s="2" t="s">
        <v>9</v>
      </c>
      <c r="B16" s="5">
        <v>57.776090000000003</v>
      </c>
      <c r="C16" s="5">
        <v>25</v>
      </c>
    </row>
    <row r="17" spans="1:3" x14ac:dyDescent="0.25">
      <c r="A17" s="2" t="s">
        <v>10</v>
      </c>
      <c r="B17" s="5">
        <v>5.0999999999999996</v>
      </c>
      <c r="C17" s="5">
        <v>4.5999999999999996</v>
      </c>
    </row>
    <row r="18" spans="1:3" x14ac:dyDescent="0.25">
      <c r="A18" t="s">
        <v>149</v>
      </c>
      <c r="B18">
        <v>1.885553</v>
      </c>
      <c r="C18">
        <v>1.7082489999999999</v>
      </c>
    </row>
    <row r="19" spans="1:3" x14ac:dyDescent="0.25">
      <c r="A19" t="s">
        <v>53</v>
      </c>
      <c r="B19">
        <f>1000*0.6450971</f>
        <v>645.09709999999995</v>
      </c>
      <c r="C19">
        <f>1000*0.664357</f>
        <v>664.35699999999997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opLeftCell="D1" workbookViewId="0">
      <selection activeCell="F11" sqref="F11"/>
    </sheetView>
  </sheetViews>
  <sheetFormatPr baseColWidth="10" defaultRowHeight="15" x14ac:dyDescent="0.25"/>
  <cols>
    <col min="1" max="1" width="19.5703125" bestFit="1" customWidth="1"/>
    <col min="2" max="2" width="17.140625" customWidth="1"/>
    <col min="3" max="3" width="15.5703125" customWidth="1"/>
    <col min="5" max="5" width="19.5703125" customWidth="1"/>
    <col min="7" max="7" width="24.140625" customWidth="1"/>
    <col min="9" max="9" width="12.140625" customWidth="1"/>
    <col min="11" max="11" width="34" customWidth="1"/>
    <col min="12" max="12" width="13.5703125" bestFit="1" customWidth="1"/>
    <col min="13" max="13" width="14" customWidth="1"/>
    <col min="14" max="14" width="20" customWidth="1"/>
    <col min="16" max="16" width="18.85546875" customWidth="1"/>
    <col min="18" max="18" width="12.42578125" customWidth="1"/>
    <col min="19" max="19" width="15.28515625" bestFit="1" customWidth="1"/>
    <col min="20" max="20" width="24.85546875" customWidth="1"/>
    <col min="22" max="22" width="17" customWidth="1"/>
    <col min="23" max="23" width="15" customWidth="1"/>
    <col min="24" max="24" width="17.140625" bestFit="1" customWidth="1"/>
    <col min="27" max="27" width="26.140625" customWidth="1"/>
    <col min="28" max="28" width="12" bestFit="1" customWidth="1"/>
    <col min="30" max="30" width="18.7109375" customWidth="1"/>
  </cols>
  <sheetData>
    <row r="1" spans="1:31" x14ac:dyDescent="0.25">
      <c r="A1" s="8" t="s">
        <v>47</v>
      </c>
      <c r="B1" s="8" t="s">
        <v>48</v>
      </c>
      <c r="C1" s="8" t="s">
        <v>49</v>
      </c>
      <c r="E1" s="7" t="s">
        <v>70</v>
      </c>
      <c r="F1" s="7"/>
      <c r="G1" s="7"/>
      <c r="H1" s="7"/>
      <c r="I1" s="7"/>
      <c r="J1" s="2"/>
      <c r="K1" s="7" t="s">
        <v>122</v>
      </c>
      <c r="L1" s="7"/>
      <c r="M1" s="7"/>
      <c r="N1" s="2"/>
      <c r="P1" s="7" t="s">
        <v>123</v>
      </c>
      <c r="Q1" s="7"/>
      <c r="R1" s="7"/>
      <c r="T1" s="7" t="s">
        <v>124</v>
      </c>
      <c r="U1" s="7"/>
      <c r="V1" s="7"/>
      <c r="AA1" s="7" t="s">
        <v>125</v>
      </c>
      <c r="AB1" s="7"/>
      <c r="AC1" s="7"/>
      <c r="AD1" s="7"/>
      <c r="AE1" s="7"/>
    </row>
    <row r="2" spans="1:31" x14ac:dyDescent="0.25">
      <c r="A2" s="8" t="s">
        <v>50</v>
      </c>
      <c r="B2" s="9">
        <f>'Propietats ASPEN'!B16</f>
        <v>57.776090000000003</v>
      </c>
      <c r="C2" s="9">
        <v>15</v>
      </c>
      <c r="E2" s="8" t="s">
        <v>11</v>
      </c>
      <c r="F2" s="9">
        <f>B2</f>
        <v>57.776090000000003</v>
      </c>
      <c r="G2" s="8" t="s">
        <v>13</v>
      </c>
      <c r="H2" s="8">
        <f>C2</f>
        <v>15</v>
      </c>
      <c r="K2" s="8" t="s">
        <v>35</v>
      </c>
      <c r="L2" s="18">
        <f>M2*2.54/100</f>
        <v>1.3462E-2</v>
      </c>
      <c r="M2" s="16">
        <v>0.53</v>
      </c>
      <c r="N2" s="8" t="s">
        <v>44</v>
      </c>
      <c r="P2" s="8" t="s">
        <v>79</v>
      </c>
      <c r="Q2" s="20">
        <f>(L20*PI()*(L2^2)/4)/L9</f>
        <v>7.2590406748028425E-3</v>
      </c>
      <c r="R2" s="2" t="s">
        <v>119</v>
      </c>
      <c r="T2" s="8" t="s">
        <v>92</v>
      </c>
      <c r="U2" s="11">
        <f>L4*(L20/U3)^(1/U4)</f>
        <v>0.45144713627227301</v>
      </c>
      <c r="V2" s="5">
        <f>100*U2/2.54</f>
        <v>17.773509302057995</v>
      </c>
      <c r="W2" s="2" t="s">
        <v>44</v>
      </c>
      <c r="AA2" s="8" t="s">
        <v>134</v>
      </c>
      <c r="AB2" s="8">
        <v>52.5</v>
      </c>
    </row>
    <row r="3" spans="1:31" x14ac:dyDescent="0.25">
      <c r="A3" s="8" t="s">
        <v>51</v>
      </c>
      <c r="B3" s="9">
        <f>'Propietats ASPEN'!C16</f>
        <v>25</v>
      </c>
      <c r="C3" s="9">
        <f>H3</f>
        <v>32.279838134220491</v>
      </c>
      <c r="E3" s="8" t="s">
        <v>12</v>
      </c>
      <c r="F3" s="9">
        <f>B3</f>
        <v>25</v>
      </c>
      <c r="G3" s="8" t="s">
        <v>14</v>
      </c>
      <c r="H3" s="9">
        <f>F8/(H6)+H2</f>
        <v>32.279838134220491</v>
      </c>
      <c r="K3" s="8" t="s">
        <v>37</v>
      </c>
      <c r="L3" s="18">
        <f>(L4-L2)/2</f>
        <v>2.7940000000000005E-3</v>
      </c>
      <c r="M3" s="25" t="str">
        <f>IF(M2&gt;0.5,"SI","NO")</f>
        <v>SI</v>
      </c>
      <c r="N3" s="8" t="s">
        <v>121</v>
      </c>
      <c r="P3" s="8" t="s">
        <v>80</v>
      </c>
      <c r="Q3" s="13">
        <f>B5/(B6*Q2)</f>
        <v>1.8076101308121462</v>
      </c>
      <c r="R3" s="24" t="str">
        <f>IF(Q3&gt;=1,IF(Q3&lt;=2,"SI","NO"),"NO")</f>
        <v>SI</v>
      </c>
      <c r="S3" s="2"/>
      <c r="T3" s="8" t="s">
        <v>90</v>
      </c>
      <c r="U3" s="8">
        <v>0.158</v>
      </c>
      <c r="AA3" s="8" t="s">
        <v>102</v>
      </c>
      <c r="AB3" s="9">
        <f>1/((PI()*L4*L6)*(AB12+AB14+AB16))</f>
        <v>916.69363936079537</v>
      </c>
    </row>
    <row r="4" spans="1:31" x14ac:dyDescent="0.25">
      <c r="A4" s="8" t="s">
        <v>113</v>
      </c>
      <c r="B4" s="9">
        <f>'Propietats ASPEN'!B17</f>
        <v>5.0999999999999996</v>
      </c>
      <c r="C4" s="9">
        <v>2</v>
      </c>
      <c r="E4" s="8" t="s">
        <v>15</v>
      </c>
      <c r="F4" s="9">
        <f>B5</f>
        <v>8.5910111111111114</v>
      </c>
      <c r="G4" s="8" t="s">
        <v>16</v>
      </c>
      <c r="H4" s="10">
        <v>7</v>
      </c>
      <c r="K4" s="8" t="s">
        <v>36</v>
      </c>
      <c r="L4" s="18">
        <f>M4*2.54/100</f>
        <v>1.9050000000000001E-2</v>
      </c>
      <c r="M4" s="16">
        <v>0.75</v>
      </c>
      <c r="N4" s="8" t="s">
        <v>44</v>
      </c>
      <c r="T4" s="8" t="s">
        <v>91</v>
      </c>
      <c r="U4" s="8">
        <v>2.2629999999999999</v>
      </c>
      <c r="AA4" s="8" t="s">
        <v>103</v>
      </c>
      <c r="AB4" s="9">
        <f>1/(PI()*L4*L6*(AB17))</f>
        <v>635.36605272772408</v>
      </c>
    </row>
    <row r="5" spans="1:31" x14ac:dyDescent="0.25">
      <c r="A5" s="8" t="s">
        <v>52</v>
      </c>
      <c r="B5" s="13">
        <f>'Propietats ASPEN'!B14/3600</f>
        <v>8.5910111111111114</v>
      </c>
      <c r="C5" s="9">
        <f>H4</f>
        <v>7</v>
      </c>
      <c r="E5" s="8" t="s">
        <v>18</v>
      </c>
      <c r="F5" s="11">
        <f>B7</f>
        <v>1.7969010000000001</v>
      </c>
      <c r="G5" s="8" t="s">
        <v>17</v>
      </c>
      <c r="H5" s="8">
        <f>C7</f>
        <v>4.1829999999999998</v>
      </c>
      <c r="K5" s="8" t="s">
        <v>73</v>
      </c>
      <c r="L5" s="20">
        <f>PI()*L4</f>
        <v>5.9847340050885559E-2</v>
      </c>
      <c r="M5" s="8"/>
      <c r="N5" s="8"/>
      <c r="P5" s="8" t="s">
        <v>81</v>
      </c>
      <c r="Q5" s="21">
        <f>Q3*L2*B6/B9</f>
        <v>22907.489845094544</v>
      </c>
      <c r="R5" s="24" t="str">
        <f>IF(Q5&gt;4000,IF(Q5&lt;5000000,"SI","NO"),"NO")</f>
        <v>SI</v>
      </c>
      <c r="S5" s="2" t="s">
        <v>131</v>
      </c>
      <c r="T5" s="8" t="s">
        <v>93</v>
      </c>
      <c r="U5" s="13">
        <f>L19/U6</f>
        <v>0.18111111111111108</v>
      </c>
    </row>
    <row r="6" spans="1:31" x14ac:dyDescent="0.25">
      <c r="A6" s="8" t="s">
        <v>53</v>
      </c>
      <c r="B6" s="9">
        <f>AVERAGE('Propietats ASPEN'!B19:C19)</f>
        <v>654.72704999999996</v>
      </c>
      <c r="C6" s="8">
        <v>997.4</v>
      </c>
      <c r="E6" s="8" t="s">
        <v>20</v>
      </c>
      <c r="F6" s="11">
        <f>F4*F5</f>
        <v>15.437196456566667</v>
      </c>
      <c r="G6" s="8" t="s">
        <v>21</v>
      </c>
      <c r="H6" s="8">
        <f>H4*H5</f>
        <v>29.280999999999999</v>
      </c>
      <c r="K6" s="8" t="s">
        <v>38</v>
      </c>
      <c r="L6" s="19">
        <f>M6*0.3048</f>
        <v>4.8768000000000002</v>
      </c>
      <c r="M6" s="16">
        <v>16</v>
      </c>
      <c r="N6" s="8" t="s">
        <v>64</v>
      </c>
      <c r="P6" s="8" t="s">
        <v>82</v>
      </c>
      <c r="Q6" s="13">
        <f>1000*B7*B9/B8</f>
        <v>10.475646651299247</v>
      </c>
      <c r="R6" s="24" t="str">
        <f>IF(Q6&gt;0.5,IF(Q6&lt;1000000,"SI","NO"),"NO")</f>
        <v>SI</v>
      </c>
      <c r="S6" s="2" t="s">
        <v>130</v>
      </c>
      <c r="T6" s="8" t="s">
        <v>94</v>
      </c>
      <c r="U6" s="8">
        <v>2.7</v>
      </c>
      <c r="V6" s="24" t="str">
        <f>IF(U6&gt;=2,IF(U6&lt;=5,"SI","NO"),"NO")</f>
        <v>SI</v>
      </c>
      <c r="W6" s="2" t="s">
        <v>120</v>
      </c>
      <c r="AA6" s="8" t="s">
        <v>111</v>
      </c>
      <c r="AB6" s="9">
        <f>1000*F8/(F11*F9*AB4)</f>
        <v>53.098295771219355</v>
      </c>
    </row>
    <row r="7" spans="1:31" x14ac:dyDescent="0.25">
      <c r="A7" s="8" t="s">
        <v>54</v>
      </c>
      <c r="B7" s="11">
        <f>AVERAGE('Propietats ASPEN'!B18:C18)</f>
        <v>1.7969010000000001</v>
      </c>
      <c r="C7" s="8">
        <v>4.1829999999999998</v>
      </c>
      <c r="P7" s="8" t="s">
        <v>83</v>
      </c>
      <c r="Q7" s="9">
        <f>((Q11/8)*Q5*Q6)/((1.07+(900/Q5)-(0.63/(1+10*Q6))+12.7*(Q11/8)^(0.5)*(Q6^(2/3)-1)))</f>
        <v>199.10442472053603</v>
      </c>
      <c r="T7" s="8" t="s">
        <v>95</v>
      </c>
      <c r="U7" s="11">
        <f>(L12-L4)*L19*U5/(L12*L10)</f>
        <v>8.8563333333333306E-3</v>
      </c>
      <c r="V7" s="2" t="s">
        <v>96</v>
      </c>
      <c r="AA7" s="8" t="s">
        <v>112</v>
      </c>
      <c r="AB7" s="9">
        <f>L21</f>
        <v>59.540155623872373</v>
      </c>
    </row>
    <row r="8" spans="1:31" x14ac:dyDescent="0.25">
      <c r="A8" s="8" t="s">
        <v>128</v>
      </c>
      <c r="B8" s="8">
        <v>0.1193</v>
      </c>
      <c r="C8" s="8">
        <v>0.59309999999999996</v>
      </c>
      <c r="E8" s="8" t="s">
        <v>19</v>
      </c>
      <c r="F8" s="9">
        <f>F6*(F2-F3)</f>
        <v>505.97094040811021</v>
      </c>
      <c r="K8" s="8" t="s">
        <v>74</v>
      </c>
      <c r="L8" s="21">
        <f>F12/(L6*L5)</f>
        <v>181.91879923600993</v>
      </c>
      <c r="P8" s="8" t="s">
        <v>84</v>
      </c>
      <c r="Q8" s="9">
        <f>Q7*B8/L2</f>
        <v>1764.4598030872046</v>
      </c>
      <c r="T8" s="8" t="s">
        <v>58</v>
      </c>
      <c r="U8" s="20">
        <f>L12-L4</f>
        <v>4.7624999999999994E-3</v>
      </c>
      <c r="V8" s="2"/>
      <c r="AA8" s="8" t="s">
        <v>135</v>
      </c>
      <c r="AB8" s="9">
        <f>100*(1-AB6/AB7)</f>
        <v>10.819353401337406</v>
      </c>
      <c r="AC8" s="24" t="str">
        <f>IF(AB8&gt;10,IF(AB8&lt;15,"SI","NO"),"NO")</f>
        <v>SI</v>
      </c>
      <c r="AD8" s="2" t="s">
        <v>127</v>
      </c>
    </row>
    <row r="9" spans="1:31" x14ac:dyDescent="0.25">
      <c r="A9" s="8" t="s">
        <v>55</v>
      </c>
      <c r="B9" s="17">
        <v>6.9550000000000005E-4</v>
      </c>
      <c r="C9" s="17">
        <v>9.1109999999999997E-4</v>
      </c>
      <c r="E9" s="12" t="s">
        <v>22</v>
      </c>
      <c r="F9" s="13">
        <f>((F2-H3)-(F3-H2))/LN((F2-H3)/(F3-H2))</f>
        <v>16.556773425446234</v>
      </c>
      <c r="K9" s="8" t="s">
        <v>66</v>
      </c>
      <c r="L9" s="16">
        <v>4</v>
      </c>
      <c r="P9" s="8" t="s">
        <v>85</v>
      </c>
      <c r="Q9" s="9">
        <f>Q8*(L2/L4)</f>
        <v>1246.884927514958</v>
      </c>
      <c r="T9" s="8" t="s">
        <v>59</v>
      </c>
      <c r="U9" s="20">
        <f>L19/L12</f>
        <v>20.535433070866141</v>
      </c>
    </row>
    <row r="10" spans="1:31" x14ac:dyDescent="0.25">
      <c r="A10" s="8" t="s">
        <v>56</v>
      </c>
      <c r="B10" s="8">
        <f>0.0002</f>
        <v>2.0000000000000001E-4</v>
      </c>
      <c r="C10" s="22">
        <v>2.0000000000000001E-4</v>
      </c>
      <c r="E10" s="8" t="s">
        <v>23</v>
      </c>
      <c r="F10" s="8">
        <v>635.4</v>
      </c>
      <c r="G10" s="2" t="s">
        <v>129</v>
      </c>
      <c r="K10" s="8" t="s">
        <v>65</v>
      </c>
      <c r="L10" s="8">
        <f>F16</f>
        <v>2</v>
      </c>
      <c r="T10" s="8" t="s">
        <v>60</v>
      </c>
      <c r="U10" s="20">
        <f>L16</f>
        <v>1.884877082375758E-2</v>
      </c>
    </row>
    <row r="11" spans="1:31" x14ac:dyDescent="0.25">
      <c r="E11" s="8" t="s">
        <v>30</v>
      </c>
      <c r="F11" s="11">
        <f>IF(F16=1,F14,F15)</f>
        <v>0.90582703773838336</v>
      </c>
      <c r="G11" s="24" t="str">
        <f>IF(F11&gt;0.8,"SI","NO")</f>
        <v>SI</v>
      </c>
      <c r="H11" s="2" t="s">
        <v>116</v>
      </c>
      <c r="K11" s="2"/>
      <c r="P11" s="8" t="s">
        <v>57</v>
      </c>
      <c r="Q11" s="20">
        <f>(0.79*LN(Q5)-1.64)^(-2)</f>
        <v>2.5267539495523489E-2</v>
      </c>
      <c r="AA11" s="7" t="s">
        <v>126</v>
      </c>
      <c r="AB11" s="7"/>
      <c r="AC11" s="7" t="s">
        <v>109</v>
      </c>
      <c r="AD11" s="7"/>
    </row>
    <row r="12" spans="1:31" x14ac:dyDescent="0.25">
      <c r="E12" s="8" t="s">
        <v>24</v>
      </c>
      <c r="F12" s="9">
        <f>F8*1000/(F10*F9*F11)</f>
        <v>53.0954589089217</v>
      </c>
      <c r="K12" s="8" t="s">
        <v>39</v>
      </c>
      <c r="L12" s="20">
        <f>1.25*L4</f>
        <v>2.38125E-2</v>
      </c>
      <c r="P12" s="8" t="s">
        <v>86</v>
      </c>
      <c r="Q12" s="21">
        <f>(Q11*L6*L9*B6*Q3^2)/(L2*((B9/0.0008365)^(0.14))*2)</f>
        <v>40189.421885662603</v>
      </c>
      <c r="T12" s="8" t="s">
        <v>61</v>
      </c>
      <c r="U12" s="13">
        <f>C5/(C6*U7)</f>
        <v>0.79245520456389618</v>
      </c>
      <c r="AA12" s="8" t="s">
        <v>108</v>
      </c>
      <c r="AB12" s="20">
        <f>1/(PI()*L2*L6*Q8)</f>
        <v>2.7478550939451373E-3</v>
      </c>
      <c r="AC12" s="9">
        <f>AB12*100/$AB$17</f>
        <v>50.956270198406266</v>
      </c>
    </row>
    <row r="13" spans="1:31" x14ac:dyDescent="0.25">
      <c r="A13" s="16"/>
      <c r="B13" s="8" t="s">
        <v>71</v>
      </c>
      <c r="C13" s="8"/>
      <c r="K13" s="8" t="s">
        <v>75</v>
      </c>
      <c r="L13" s="20">
        <f>4*((L12^2-(PI()*L4^2/4)))/(PI()*L4)</f>
        <v>1.884877082375758E-2</v>
      </c>
      <c r="P13" s="8" t="s">
        <v>87</v>
      </c>
      <c r="Q13" s="21">
        <f>(4*L9*B6*Q3^2)/2</f>
        <v>17114.326164081929</v>
      </c>
      <c r="T13" s="8" t="s">
        <v>97</v>
      </c>
      <c r="U13" s="21">
        <f>U12*U10*C6/C9</f>
        <v>16351.63082199278</v>
      </c>
      <c r="V13" s="24" t="str">
        <f>IF(U13&gt;2000,IF(U13&lt;1000000,"SI","NO"),"NO")</f>
        <v>SI</v>
      </c>
      <c r="W13" s="2" t="s">
        <v>133</v>
      </c>
      <c r="AA13" s="8" t="s">
        <v>104</v>
      </c>
      <c r="AB13" s="20">
        <f>B10/(PI()*L2*L6)</f>
        <v>9.6969597159492194E-4</v>
      </c>
      <c r="AC13" s="9">
        <f t="shared" ref="AC13:AC16" si="0">AB13*100/$AB$17</f>
        <v>17.982058096067664</v>
      </c>
    </row>
    <row r="14" spans="1:31" x14ac:dyDescent="0.25">
      <c r="A14" s="16"/>
      <c r="B14" s="8" t="s">
        <v>72</v>
      </c>
      <c r="C14" s="8"/>
      <c r="E14" s="8" t="s">
        <v>28</v>
      </c>
      <c r="F14" s="14" t="e">
        <f>(((SQRT(F18^2+1)/(F18-1)))*LN((1-F17)/(1-F17*F18)))/(LN((F19+SQRT(F18^2+1))/(F19-SQRT(F18^2+1))))</f>
        <v>#NUM!</v>
      </c>
      <c r="K14" s="8" t="s">
        <v>76</v>
      </c>
      <c r="L14" s="20">
        <f>4*((L12/2)*0.86*L12-0.5*PI()*L4^2/4)/(PI()*L4/2)</f>
        <v>1.3542942908431516E-2</v>
      </c>
      <c r="M14" s="8" t="s">
        <v>42</v>
      </c>
      <c r="N14" s="8" t="s">
        <v>41</v>
      </c>
      <c r="P14" s="8" t="s">
        <v>88</v>
      </c>
      <c r="Q14" s="21">
        <f>SUM(Q12:Q13)</f>
        <v>57303.748049744536</v>
      </c>
      <c r="T14" s="8" t="s">
        <v>98</v>
      </c>
      <c r="U14" s="13">
        <f>1000*C7*C9/C8</f>
        <v>6.425781992918564</v>
      </c>
      <c r="V14" s="2"/>
      <c r="W14" s="2"/>
      <c r="AA14" s="8" t="s">
        <v>105</v>
      </c>
      <c r="AB14" s="20">
        <f>LN(L4/L2)/(2*PI()*L6*AB2)</f>
        <v>2.1582455103348749E-4</v>
      </c>
      <c r="AC14" s="9">
        <f t="shared" si="0"/>
        <v>4.0022540352092113</v>
      </c>
    </row>
    <row r="15" spans="1:31" x14ac:dyDescent="0.25">
      <c r="A15" s="23"/>
      <c r="B15" s="8" t="s">
        <v>114</v>
      </c>
      <c r="C15" s="8"/>
      <c r="E15" s="14" t="s">
        <v>27</v>
      </c>
      <c r="F15" s="15">
        <f>((SQRT(F18^2+1)/(2*(F18-1)))*LN((1-F17)/(1-F17*F18)))/(LN((F19+F20+SQRT(F18^2+1))/(F19+F20-SQRT(F18^2+1))))</f>
        <v>0.90582703773838336</v>
      </c>
      <c r="K15" s="8" t="s">
        <v>40</v>
      </c>
      <c r="L15" s="16">
        <v>4</v>
      </c>
      <c r="M15" s="8">
        <v>3</v>
      </c>
      <c r="N15" s="8">
        <v>4</v>
      </c>
      <c r="P15" s="8" t="s">
        <v>89</v>
      </c>
      <c r="Q15" s="13">
        <f>Q14/101325</f>
        <v>0.56554402220325228</v>
      </c>
      <c r="T15" s="8" t="s">
        <v>83</v>
      </c>
      <c r="U15" s="9">
        <f>0.36*U13^(0.55)*U14^(1/3)*(C9/0.0008365)^(0.14)</f>
        <v>140.69017429582433</v>
      </c>
      <c r="AA15" s="8" t="s">
        <v>106</v>
      </c>
      <c r="AB15" s="20">
        <f>C10/(PI()*L4*L6)</f>
        <v>6.8525181992707817E-4</v>
      </c>
      <c r="AC15" s="9">
        <f t="shared" si="0"/>
        <v>12.707321054554484</v>
      </c>
    </row>
    <row r="16" spans="1:31" x14ac:dyDescent="0.25">
      <c r="A16" s="23"/>
      <c r="B16" s="8" t="s">
        <v>115</v>
      </c>
      <c r="C16" s="8"/>
      <c r="E16" s="16" t="s">
        <v>29</v>
      </c>
      <c r="F16" s="16">
        <v>2</v>
      </c>
      <c r="G16" s="2" t="s">
        <v>68</v>
      </c>
      <c r="K16" s="8" t="s">
        <v>78</v>
      </c>
      <c r="L16" s="20">
        <f>IF(L15=4,L13,IF(L15=3,L14,0))</f>
        <v>1.884877082375758E-2</v>
      </c>
      <c r="M16" s="14" t="s">
        <v>77</v>
      </c>
      <c r="N16" s="8"/>
      <c r="T16" s="8" t="s">
        <v>62</v>
      </c>
      <c r="U16" s="9">
        <f>U15*C8/U10</f>
        <v>4426.9911897744969</v>
      </c>
      <c r="AA16" s="8" t="s">
        <v>107</v>
      </c>
      <c r="AB16" s="20">
        <f>1/(PI()*L4*L6*U16)</f>
        <v>7.7394757585002509E-4</v>
      </c>
      <c r="AC16" s="9">
        <f t="shared" si="0"/>
        <v>14.352096615762376</v>
      </c>
    </row>
    <row r="17" spans="1:29" x14ac:dyDescent="0.25">
      <c r="E17" s="8" t="s">
        <v>25</v>
      </c>
      <c r="F17" s="11">
        <f>(F3-F2)/(H2-F2)</f>
        <v>0.76622454272936125</v>
      </c>
      <c r="G17" s="2" t="s">
        <v>69</v>
      </c>
      <c r="T17" s="8" t="s">
        <v>99</v>
      </c>
      <c r="U17" s="9">
        <f>AVERAGE(B2:B3)+(U16/(U16+Q9))*(AVERAGE(C2:C3)-AVERAGE(B2:B3))</f>
        <v>27.540228178534687</v>
      </c>
      <c r="AA17" s="8" t="s">
        <v>110</v>
      </c>
      <c r="AB17" s="20">
        <f>SUM(AB12:AB16)</f>
        <v>5.3925750123506502E-3</v>
      </c>
      <c r="AC17" s="8"/>
    </row>
    <row r="18" spans="1:29" x14ac:dyDescent="0.25">
      <c r="E18" s="8" t="s">
        <v>26</v>
      </c>
      <c r="F18" s="11">
        <f>(H2-H3)/(F3-F2)</f>
        <v>0.52720864917750987</v>
      </c>
      <c r="G18" s="2" t="s">
        <v>67</v>
      </c>
    </row>
    <row r="19" spans="1:29" x14ac:dyDescent="0.25">
      <c r="A19" s="8" t="s">
        <v>136</v>
      </c>
      <c r="B19" s="27" t="s">
        <v>137</v>
      </c>
      <c r="E19" s="8" t="s">
        <v>31</v>
      </c>
      <c r="F19" s="11">
        <f>(2/F17)-1-F18</f>
        <v>1.0829922625236721</v>
      </c>
      <c r="K19" s="8" t="s">
        <v>45</v>
      </c>
      <c r="L19" s="16">
        <v>0.48899999999999999</v>
      </c>
      <c r="M19" s="8">
        <v>19.25</v>
      </c>
      <c r="N19" s="8" t="s">
        <v>44</v>
      </c>
      <c r="T19" s="8" t="s">
        <v>100</v>
      </c>
      <c r="U19" s="21">
        <f>(4*U21*L19*U22*C6*U12^2)/(U10*((C9/0.0008905)^(0.14))*2)</f>
        <v>62651.543026714768</v>
      </c>
    </row>
    <row r="20" spans="1:29" x14ac:dyDescent="0.25">
      <c r="A20" s="8" t="s">
        <v>138</v>
      </c>
      <c r="B20" s="27" t="s">
        <v>139</v>
      </c>
      <c r="E20" s="8" t="s">
        <v>32</v>
      </c>
      <c r="F20" s="11">
        <f>(2/F17)*SQRT((1-F17)*(1-F17*F18))</f>
        <v>0.97434110006382646</v>
      </c>
      <c r="K20" s="8" t="s">
        <v>43</v>
      </c>
      <c r="L20" s="16">
        <v>204</v>
      </c>
      <c r="T20" s="8" t="s">
        <v>101</v>
      </c>
      <c r="U20" s="13">
        <f>U19/101325</f>
        <v>0.61832265508724171</v>
      </c>
    </row>
    <row r="21" spans="1:29" x14ac:dyDescent="0.25">
      <c r="A21" s="8"/>
      <c r="B21" s="27" t="s">
        <v>140</v>
      </c>
      <c r="K21" s="8" t="s">
        <v>46</v>
      </c>
      <c r="L21" s="26">
        <f>L20*L6*L5</f>
        <v>59.540155623872373</v>
      </c>
      <c r="T21" s="8" t="s">
        <v>57</v>
      </c>
      <c r="U21" s="11">
        <f>0.5/(U13^(0.2))</f>
        <v>7.1822048799660476E-2</v>
      </c>
    </row>
    <row r="22" spans="1:29" x14ac:dyDescent="0.25">
      <c r="T22" s="8" t="s">
        <v>63</v>
      </c>
      <c r="U22" s="21">
        <f>(L6/U5)</f>
        <v>26.927116564417183</v>
      </c>
      <c r="V22" s="2"/>
    </row>
    <row r="23" spans="1:29" x14ac:dyDescent="0.25">
      <c r="K23" s="2" t="s">
        <v>117</v>
      </c>
      <c r="L23" s="24" t="str">
        <f>IF((L6/L19)&gt;5,IF((L6/L19)&lt;10,"SI","NO"),"NO")</f>
        <v>SI</v>
      </c>
      <c r="M23" s="2" t="s">
        <v>118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F11" sqref="F11"/>
    </sheetView>
  </sheetViews>
  <sheetFormatPr baseColWidth="10" defaultRowHeight="15" x14ac:dyDescent="0.25"/>
  <cols>
    <col min="1" max="1" width="19.5703125" style="2" customWidth="1"/>
    <col min="2" max="2" width="17.140625" style="2" customWidth="1"/>
    <col min="3" max="3" width="15.5703125" style="2" customWidth="1"/>
    <col min="4" max="4" width="11.42578125" style="2"/>
    <col min="5" max="5" width="19.5703125" style="2" customWidth="1"/>
    <col min="6" max="6" width="11.42578125" style="2"/>
    <col min="7" max="7" width="24.140625" style="2" customWidth="1"/>
    <col min="8" max="8" width="11.42578125" style="2"/>
    <col min="9" max="9" width="12.140625" style="2" customWidth="1"/>
    <col min="10" max="10" width="11.42578125" style="2"/>
    <col min="11" max="11" width="34" style="2" customWidth="1"/>
    <col min="12" max="12" width="13.5703125" style="2" bestFit="1" customWidth="1"/>
    <col min="13" max="13" width="14" style="2" customWidth="1"/>
    <col min="14" max="14" width="20" style="2" customWidth="1"/>
    <col min="15" max="15" width="11.42578125" style="2"/>
    <col min="16" max="16" width="18.85546875" style="2" customWidth="1"/>
    <col min="17" max="17" width="11.42578125" style="2"/>
    <col min="18" max="18" width="12.42578125" style="2" customWidth="1"/>
    <col min="19" max="19" width="15.28515625" style="2" bestFit="1" customWidth="1"/>
    <col min="20" max="20" width="24.85546875" style="2" customWidth="1"/>
    <col min="21" max="21" width="11.42578125" style="2"/>
    <col min="22" max="22" width="17" style="2" customWidth="1"/>
    <col min="23" max="23" width="14.5703125" style="2" customWidth="1"/>
    <col min="24" max="24" width="17.140625" style="2" bestFit="1" customWidth="1"/>
    <col min="25" max="26" width="11.42578125" style="2"/>
    <col min="27" max="27" width="26.140625" style="2" customWidth="1"/>
    <col min="28" max="29" width="11.42578125" style="2"/>
    <col min="30" max="30" width="17.140625" style="2" bestFit="1" customWidth="1"/>
    <col min="31" max="16384" width="11.42578125" style="2"/>
  </cols>
  <sheetData>
    <row r="1" spans="1:31" x14ac:dyDescent="0.25">
      <c r="A1" s="8" t="s">
        <v>47</v>
      </c>
      <c r="B1" s="8" t="s">
        <v>48</v>
      </c>
      <c r="C1" s="8" t="s">
        <v>49</v>
      </c>
      <c r="E1" s="7" t="s">
        <v>70</v>
      </c>
      <c r="F1" s="7"/>
      <c r="G1" s="7"/>
      <c r="H1" s="7"/>
      <c r="I1" s="7"/>
      <c r="K1" s="7" t="s">
        <v>122</v>
      </c>
      <c r="L1" s="7"/>
      <c r="M1" s="7"/>
      <c r="P1" s="7" t="s">
        <v>123</v>
      </c>
      <c r="Q1" s="7"/>
      <c r="R1" s="7"/>
      <c r="T1" s="7" t="s">
        <v>124</v>
      </c>
      <c r="U1" s="7"/>
      <c r="V1" s="7"/>
      <c r="AA1" s="7" t="s">
        <v>125</v>
      </c>
      <c r="AB1" s="7"/>
      <c r="AC1" s="7"/>
      <c r="AD1" s="7"/>
      <c r="AE1" s="7"/>
    </row>
    <row r="2" spans="1:31" x14ac:dyDescent="0.25">
      <c r="A2" s="8" t="s">
        <v>50</v>
      </c>
      <c r="B2" s="9">
        <f>'Propietats ASPEN'!B16</f>
        <v>57.776090000000003</v>
      </c>
      <c r="C2" s="9">
        <v>15</v>
      </c>
      <c r="E2" s="8" t="s">
        <v>11</v>
      </c>
      <c r="F2" s="9">
        <f>B2</f>
        <v>57.776090000000003</v>
      </c>
      <c r="G2" s="8" t="s">
        <v>13</v>
      </c>
      <c r="H2" s="8">
        <f>C2</f>
        <v>15</v>
      </c>
      <c r="K2" s="8" t="s">
        <v>35</v>
      </c>
      <c r="L2" s="18">
        <f>M2*2.54/100</f>
        <v>1.5747999999999998E-2</v>
      </c>
      <c r="M2" s="16">
        <v>0.62</v>
      </c>
      <c r="N2" s="8" t="s">
        <v>44</v>
      </c>
      <c r="P2" s="8" t="s">
        <v>79</v>
      </c>
      <c r="Q2" s="20">
        <f>(L20*PI()*(L2^2)/4)/L9</f>
        <v>5.9650871208055158E-3</v>
      </c>
      <c r="R2" s="2" t="s">
        <v>119</v>
      </c>
      <c r="T2" s="8" t="s">
        <v>92</v>
      </c>
      <c r="U2" s="11">
        <f>L4*(L20/U3)^(1/U4)</f>
        <v>0.55448489175994442</v>
      </c>
      <c r="V2" s="5">
        <f>100*U2/2.54</f>
        <v>21.830113848816708</v>
      </c>
      <c r="W2" s="2" t="s">
        <v>44</v>
      </c>
      <c r="AA2" s="8" t="s">
        <v>134</v>
      </c>
      <c r="AB2" s="8">
        <v>52.5</v>
      </c>
    </row>
    <row r="3" spans="1:31" x14ac:dyDescent="0.25">
      <c r="A3" s="8" t="s">
        <v>51</v>
      </c>
      <c r="B3" s="9">
        <f>'Propietats ASPEN'!C16</f>
        <v>25</v>
      </c>
      <c r="C3" s="9">
        <f>H3</f>
        <v>32.279838134220491</v>
      </c>
      <c r="E3" s="8" t="s">
        <v>12</v>
      </c>
      <c r="F3" s="9">
        <f>B3</f>
        <v>25</v>
      </c>
      <c r="G3" s="8" t="s">
        <v>14</v>
      </c>
      <c r="H3" s="9">
        <f>F8/(H6)+H2</f>
        <v>32.279838134220491</v>
      </c>
      <c r="K3" s="8" t="s">
        <v>37</v>
      </c>
      <c r="L3" s="18">
        <f>(L4-L2)/2</f>
        <v>1.6510000000000014E-3</v>
      </c>
      <c r="M3" s="25" t="str">
        <f>IF(M2&gt;0.5,"SI","NO")</f>
        <v>SI</v>
      </c>
      <c r="N3" s="8" t="s">
        <v>121</v>
      </c>
      <c r="P3" s="8" t="s">
        <v>80</v>
      </c>
      <c r="Q3" s="13">
        <f>C5/(C6*Q2)</f>
        <v>1.1765540554929874</v>
      </c>
      <c r="R3" s="24" t="str">
        <f>IF(Q3&gt;=1,IF(Q3&lt;=2,"SI","NO"),"NO")</f>
        <v>SI</v>
      </c>
      <c r="T3" s="8" t="s">
        <v>90</v>
      </c>
      <c r="U3" s="8">
        <v>3.3099999999999997E-2</v>
      </c>
      <c r="AA3" s="8" t="s">
        <v>102</v>
      </c>
      <c r="AB3" s="9">
        <f>1/((PI()*L4*L6)*(AB12+AB14+AB16))</f>
        <v>874.47004646199684</v>
      </c>
    </row>
    <row r="4" spans="1:31" x14ac:dyDescent="0.25">
      <c r="A4" s="8" t="s">
        <v>113</v>
      </c>
      <c r="B4" s="9">
        <f>'Propietats ASPEN'!B17</f>
        <v>5.0999999999999996</v>
      </c>
      <c r="C4" s="9">
        <v>2</v>
      </c>
      <c r="E4" s="8" t="s">
        <v>15</v>
      </c>
      <c r="F4" s="9">
        <f>B5</f>
        <v>8.5910111111111114</v>
      </c>
      <c r="G4" s="8" t="s">
        <v>16</v>
      </c>
      <c r="H4" s="10">
        <v>7</v>
      </c>
      <c r="K4" s="8" t="s">
        <v>36</v>
      </c>
      <c r="L4" s="18">
        <f>M4*2.54/100</f>
        <v>1.9050000000000001E-2</v>
      </c>
      <c r="M4" s="16">
        <v>0.75</v>
      </c>
      <c r="N4" s="8" t="s">
        <v>44</v>
      </c>
      <c r="T4" s="8" t="s">
        <v>91</v>
      </c>
      <c r="U4" s="8">
        <v>2.6429999999999998</v>
      </c>
      <c r="AA4" s="8" t="s">
        <v>103</v>
      </c>
      <c r="AB4" s="9">
        <f>1/(PI()*L4*L6*(AB17))</f>
        <v>630.72173793284401</v>
      </c>
    </row>
    <row r="5" spans="1:31" x14ac:dyDescent="0.25">
      <c r="A5" s="8" t="s">
        <v>52</v>
      </c>
      <c r="B5" s="13">
        <f>'Propietats ASPEN'!B14/3600</f>
        <v>8.5910111111111114</v>
      </c>
      <c r="C5" s="9">
        <f>H4</f>
        <v>7</v>
      </c>
      <c r="E5" s="8" t="s">
        <v>18</v>
      </c>
      <c r="F5" s="11">
        <f>B7</f>
        <v>1.7969010000000001</v>
      </c>
      <c r="G5" s="8" t="s">
        <v>17</v>
      </c>
      <c r="H5" s="8">
        <f>C7</f>
        <v>4.1829999999999998</v>
      </c>
      <c r="K5" s="8" t="s">
        <v>73</v>
      </c>
      <c r="L5" s="20">
        <f>PI()*L4</f>
        <v>5.9847340050885559E-2</v>
      </c>
      <c r="M5" s="8"/>
      <c r="N5" s="8"/>
      <c r="P5" s="8" t="s">
        <v>81</v>
      </c>
      <c r="Q5" s="21">
        <f>Q3*L2*C6/C9</f>
        <v>20283.393146100556</v>
      </c>
      <c r="R5" s="24" t="str">
        <f>IF(Q5&gt;4000,IF(Q5&lt;5000000,"SI","NO"),"NO")</f>
        <v>SI</v>
      </c>
      <c r="S5" s="2" t="s">
        <v>132</v>
      </c>
      <c r="T5" s="8" t="s">
        <v>93</v>
      </c>
      <c r="U5" s="13">
        <f>L19/U6</f>
        <v>0.21600000000000003</v>
      </c>
    </row>
    <row r="6" spans="1:31" x14ac:dyDescent="0.25">
      <c r="A6" s="8" t="s">
        <v>53</v>
      </c>
      <c r="B6" s="9">
        <f>AVERAGE('Propietats ASPEN'!B19:C19)</f>
        <v>654.72704999999996</v>
      </c>
      <c r="C6" s="8">
        <v>997.4</v>
      </c>
      <c r="E6" s="8" t="s">
        <v>20</v>
      </c>
      <c r="F6" s="11">
        <f>F4*F5</f>
        <v>15.437196456566667</v>
      </c>
      <c r="G6" s="8" t="s">
        <v>21</v>
      </c>
      <c r="H6" s="8">
        <f>H4*H5</f>
        <v>29.280999999999999</v>
      </c>
      <c r="K6" s="8" t="s">
        <v>38</v>
      </c>
      <c r="L6" s="19">
        <f>M6*0.3048</f>
        <v>4.2671999999999999</v>
      </c>
      <c r="M6" s="16">
        <v>14</v>
      </c>
      <c r="N6" s="8" t="s">
        <v>64</v>
      </c>
      <c r="P6" s="8" t="s">
        <v>82</v>
      </c>
      <c r="Q6" s="13">
        <f>1000*C7*C9/C8</f>
        <v>6.425781992918564</v>
      </c>
      <c r="R6" s="24" t="str">
        <f>IF(Q6&gt;0.5,IF(Q6&lt;1000000,"SI","NO"),"NO")</f>
        <v>SI</v>
      </c>
      <c r="S6" s="2" t="s">
        <v>130</v>
      </c>
      <c r="T6" s="8" t="s">
        <v>94</v>
      </c>
      <c r="U6" s="8">
        <v>2.5</v>
      </c>
      <c r="V6" s="24" t="str">
        <f>IF(U6&gt;=2,IF(U6&lt;=5,"SI","NO"),"NO")</f>
        <v>SI</v>
      </c>
      <c r="W6" s="2" t="s">
        <v>120</v>
      </c>
      <c r="AA6" s="8" t="s">
        <v>111</v>
      </c>
      <c r="AB6" s="9">
        <f>1000*F8/(F11*F9*AB4)</f>
        <v>53.48928467456907</v>
      </c>
    </row>
    <row r="7" spans="1:31" x14ac:dyDescent="0.25">
      <c r="A7" s="8" t="s">
        <v>54</v>
      </c>
      <c r="B7" s="11">
        <f>AVERAGE('Propietats ASPEN'!B18:C18)</f>
        <v>1.7969010000000001</v>
      </c>
      <c r="C7" s="8">
        <v>4.1829999999999998</v>
      </c>
      <c r="P7" s="8" t="s">
        <v>83</v>
      </c>
      <c r="Q7" s="9">
        <f>((Q11/8)*Q5*Q6)/((1.07+(900/Q5)-(0.63/(1+10*Q6))+12.7*(Q11/8)^(0.5)*(Q6^(2/3)-1)))</f>
        <v>147.14635905071623</v>
      </c>
      <c r="T7" s="8" t="s">
        <v>95</v>
      </c>
      <c r="U7" s="11">
        <f>(L12-L4)*L19*U5/(L12*L10)</f>
        <v>1.1663999999999999E-2</v>
      </c>
      <c r="V7" s="2" t="s">
        <v>96</v>
      </c>
      <c r="AA7" s="8" t="s">
        <v>112</v>
      </c>
      <c r="AB7" s="9">
        <f>L21</f>
        <v>62.568239518959018</v>
      </c>
    </row>
    <row r="8" spans="1:31" x14ac:dyDescent="0.25">
      <c r="A8" s="8" t="s">
        <v>128</v>
      </c>
      <c r="B8" s="8">
        <v>0.1193</v>
      </c>
      <c r="C8" s="8">
        <v>0.59309999999999996</v>
      </c>
      <c r="E8" s="8" t="s">
        <v>19</v>
      </c>
      <c r="F8" s="9">
        <f>F6*(F2-F3)</f>
        <v>505.97094040811021</v>
      </c>
      <c r="K8" s="8" t="s">
        <v>74</v>
      </c>
      <c r="L8" s="21">
        <f>F12/(L6*L5)</f>
        <v>209.45653135438752</v>
      </c>
      <c r="P8" s="8" t="s">
        <v>84</v>
      </c>
      <c r="Q8" s="9">
        <f>Q7*C8/L2</f>
        <v>5541.8151862445902</v>
      </c>
      <c r="T8" s="8" t="s">
        <v>58</v>
      </c>
      <c r="U8" s="20">
        <f>L12-L4</f>
        <v>4.7624999999999994E-3</v>
      </c>
      <c r="AA8" s="8" t="s">
        <v>135</v>
      </c>
      <c r="AB8" s="9">
        <f>100*(1-AB6/AB7)</f>
        <v>14.510484735052998</v>
      </c>
      <c r="AC8" s="24" t="str">
        <f>IF(AB8&gt;10,IF(AB8&lt;15,"SI","NO"),"NO")</f>
        <v>SI</v>
      </c>
      <c r="AD8" s="2" t="s">
        <v>127</v>
      </c>
    </row>
    <row r="9" spans="1:31" x14ac:dyDescent="0.25">
      <c r="A9" s="8" t="s">
        <v>55</v>
      </c>
      <c r="B9" s="17">
        <v>6.9550000000000005E-4</v>
      </c>
      <c r="C9" s="17">
        <v>9.1109999999999997E-4</v>
      </c>
      <c r="E9" s="12" t="s">
        <v>22</v>
      </c>
      <c r="F9" s="13">
        <f>((F2-H3)-(F3-H2))/LN((F2-H3)/(F3-H2))</f>
        <v>16.556773425446234</v>
      </c>
      <c r="K9" s="8" t="s">
        <v>66</v>
      </c>
      <c r="L9" s="16">
        <v>8</v>
      </c>
      <c r="P9" s="8" t="s">
        <v>85</v>
      </c>
      <c r="Q9" s="9">
        <f>Q8*(L2/L4)</f>
        <v>4581.233887295527</v>
      </c>
      <c r="T9" s="8" t="s">
        <v>59</v>
      </c>
      <c r="U9" s="20">
        <f>L19/L12</f>
        <v>22.677165354330711</v>
      </c>
    </row>
    <row r="10" spans="1:31" x14ac:dyDescent="0.25">
      <c r="A10" s="8" t="s">
        <v>56</v>
      </c>
      <c r="B10" s="8">
        <f>0.0002</f>
        <v>2.0000000000000001E-4</v>
      </c>
      <c r="C10" s="22">
        <v>2.0000000000000001E-4</v>
      </c>
      <c r="E10" s="8" t="s">
        <v>23</v>
      </c>
      <c r="F10" s="8">
        <v>630.70000000000005</v>
      </c>
      <c r="G10" s="2" t="s">
        <v>129</v>
      </c>
      <c r="K10" s="8" t="s">
        <v>65</v>
      </c>
      <c r="L10" s="8">
        <f>F16</f>
        <v>2</v>
      </c>
      <c r="T10" s="8" t="s">
        <v>60</v>
      </c>
      <c r="U10" s="20">
        <f>L16</f>
        <v>1.884877082375758E-2</v>
      </c>
    </row>
    <row r="11" spans="1:31" x14ac:dyDescent="0.25">
      <c r="E11" s="8" t="s">
        <v>30</v>
      </c>
      <c r="F11" s="11">
        <f>IF(F16=1,F14,F15)</f>
        <v>0.90582703773838347</v>
      </c>
      <c r="G11" s="24" t="str">
        <f>IF(F11&gt;0.8,"SI","NO")</f>
        <v>SI</v>
      </c>
      <c r="H11" s="2" t="s">
        <v>116</v>
      </c>
      <c r="P11" s="8" t="s">
        <v>57</v>
      </c>
      <c r="Q11" s="20">
        <f>(0.79*LN(Q5)-1.64)^(-2)</f>
        <v>2.6057666268001295E-2</v>
      </c>
      <c r="AA11" s="7" t="s">
        <v>126</v>
      </c>
      <c r="AB11" s="7"/>
      <c r="AC11" s="7" t="s">
        <v>109</v>
      </c>
      <c r="AD11" s="7"/>
    </row>
    <row r="12" spans="1:31" x14ac:dyDescent="0.25">
      <c r="E12" s="8" t="s">
        <v>24</v>
      </c>
      <c r="F12" s="9">
        <f>F8*1000/(F10*F9*F11)</f>
        <v>53.491128255476198</v>
      </c>
      <c r="K12" s="8" t="s">
        <v>39</v>
      </c>
      <c r="L12" s="20">
        <f>1.25*L4</f>
        <v>2.38125E-2</v>
      </c>
      <c r="P12" s="8" t="s">
        <v>86</v>
      </c>
      <c r="Q12" s="21">
        <f>(Q11*L6*L9*C6*Q3^2)/(L2*((C9/0.0008552)^(0.14))*2)</f>
        <v>38650.620073195874</v>
      </c>
      <c r="T12" s="8" t="s">
        <v>61</v>
      </c>
      <c r="U12" s="13">
        <f>B5/(B6*U7)</f>
        <v>1.1249584588263939</v>
      </c>
      <c r="AA12" s="8" t="s">
        <v>108</v>
      </c>
      <c r="AB12" s="20">
        <f>1/(PI()*L2*L6*Q8)</f>
        <v>8.5473145044100488E-4</v>
      </c>
      <c r="AC12" s="9">
        <f>AB12*100/$AB$17</f>
        <v>13.767507912703023</v>
      </c>
    </row>
    <row r="13" spans="1:31" x14ac:dyDescent="0.25">
      <c r="A13" s="16"/>
      <c r="B13" s="8" t="s">
        <v>71</v>
      </c>
      <c r="C13" s="8"/>
      <c r="K13" s="8" t="s">
        <v>75</v>
      </c>
      <c r="L13" s="20">
        <f>4*((L12^2-(PI()*L4^2/4)))/(PI()*L4)</f>
        <v>1.884877082375758E-2</v>
      </c>
      <c r="P13" s="8" t="s">
        <v>87</v>
      </c>
      <c r="Q13" s="21">
        <f>(4*L9*C6*Q3^2)/2</f>
        <v>22090.885103019256</v>
      </c>
      <c r="T13" s="8" t="s">
        <v>97</v>
      </c>
      <c r="U13" s="21">
        <f>U12*U10*B6/B9</f>
        <v>19961.01722637003</v>
      </c>
      <c r="V13" s="24" t="str">
        <f>IF(U13&gt;2000,IF(U13&lt;1000000,"SI","NO"),"NO")</f>
        <v>SI</v>
      </c>
      <c r="W13" s="2" t="s">
        <v>133</v>
      </c>
      <c r="AA13" s="8" t="s">
        <v>104</v>
      </c>
      <c r="AB13" s="20">
        <f>B10/(PI()*L2*L6)</f>
        <v>9.4735274644296532E-4</v>
      </c>
      <c r="AC13" s="9">
        <f t="shared" ref="AC13:AC16" si="0">AB13*100/$AB$17</f>
        <v>15.259396885472036</v>
      </c>
    </row>
    <row r="14" spans="1:31" x14ac:dyDescent="0.25">
      <c r="A14" s="16"/>
      <c r="B14" s="8" t="s">
        <v>72</v>
      </c>
      <c r="C14" s="8"/>
      <c r="E14" s="8" t="s">
        <v>28</v>
      </c>
      <c r="F14" s="14" t="e">
        <f>(((SQRT(F18^2+1)/(F18-1)))*LN((1-F17)/(1-F17*F18)))/(LN((F19+SQRT(F18^2+1))/(F19-SQRT(F18^2+1))))</f>
        <v>#NUM!</v>
      </c>
      <c r="K14" s="8" t="s">
        <v>76</v>
      </c>
      <c r="L14" s="20">
        <f>4*((L12/2)*0.86*L12-0.5*PI()*L4^2/4)/(PI()*L4/2)</f>
        <v>1.3542942908431516E-2</v>
      </c>
      <c r="M14" s="8" t="s">
        <v>42</v>
      </c>
      <c r="N14" s="8" t="s">
        <v>41</v>
      </c>
      <c r="P14" s="8" t="s">
        <v>88</v>
      </c>
      <c r="Q14" s="21">
        <f>SUM(Q12:Q13)</f>
        <v>60741.505176215127</v>
      </c>
      <c r="T14" s="8" t="s">
        <v>98</v>
      </c>
      <c r="U14" s="13">
        <f>1000*B7*B9/B8</f>
        <v>10.475646651299247</v>
      </c>
      <c r="AA14" s="8" t="s">
        <v>105</v>
      </c>
      <c r="AB14" s="20">
        <f>LN(L4/L2)/(2*PI()*L6*AB2)</f>
        <v>1.3523192112302958E-4</v>
      </c>
      <c r="AC14" s="9">
        <f t="shared" si="0"/>
        <v>2.1782356822727515</v>
      </c>
    </row>
    <row r="15" spans="1:31" x14ac:dyDescent="0.25">
      <c r="A15" s="23"/>
      <c r="B15" s="8" t="s">
        <v>114</v>
      </c>
      <c r="C15" s="8"/>
      <c r="E15" s="14" t="s">
        <v>27</v>
      </c>
      <c r="F15" s="15">
        <f>((SQRT(F18^2+1)/(2*(F18-1)))*LN((1-F17)/(1-F17*F18)))/(LN((F19+F20+SQRT(F18^2+1))/(F19+F20-SQRT(F18^2+1))))</f>
        <v>0.90582703773838347</v>
      </c>
      <c r="K15" s="8" t="s">
        <v>40</v>
      </c>
      <c r="L15" s="16">
        <v>4</v>
      </c>
      <c r="M15" s="8">
        <v>3</v>
      </c>
      <c r="N15" s="8">
        <v>4</v>
      </c>
      <c r="P15" s="8" t="s">
        <v>89</v>
      </c>
      <c r="Q15" s="13">
        <f>Q14/101325</f>
        <v>0.5994720471375784</v>
      </c>
      <c r="T15" s="8" t="s">
        <v>83</v>
      </c>
      <c r="U15" s="9">
        <f>0.36*U13^(0.55)*U14^(1/3)*(B9/0.0008552)^(0.14)</f>
        <v>177.37621004874262</v>
      </c>
      <c r="AA15" s="8" t="s">
        <v>106</v>
      </c>
      <c r="AB15" s="20">
        <f>C10/(PI()*L4*L6)</f>
        <v>7.8314493705951781E-4</v>
      </c>
      <c r="AC15" s="9">
        <f t="shared" si="0"/>
        <v>12.614434758656881</v>
      </c>
    </row>
    <row r="16" spans="1:31" x14ac:dyDescent="0.25">
      <c r="A16" s="23"/>
      <c r="B16" s="8" t="s">
        <v>115</v>
      </c>
      <c r="C16" s="8"/>
      <c r="E16" s="16" t="s">
        <v>29</v>
      </c>
      <c r="F16" s="16">
        <v>2</v>
      </c>
      <c r="G16" s="2" t="s">
        <v>68</v>
      </c>
      <c r="K16" s="8" t="s">
        <v>78</v>
      </c>
      <c r="L16" s="20">
        <f>IF(L15=4,L13,IF(L15=3,L14,0))</f>
        <v>1.884877082375758E-2</v>
      </c>
      <c r="M16" s="14" t="s">
        <v>77</v>
      </c>
      <c r="N16" s="8"/>
      <c r="T16" s="8" t="s">
        <v>62</v>
      </c>
      <c r="U16" s="9">
        <f>U15*B8/U10</f>
        <v>1122.671714600245</v>
      </c>
      <c r="AA16" s="8" t="s">
        <v>107</v>
      </c>
      <c r="AB16" s="20">
        <f>1/(PI()*L4*L6*U16)</f>
        <v>3.4878625998802145E-3</v>
      </c>
      <c r="AC16" s="9">
        <f t="shared" si="0"/>
        <v>56.180424760895306</v>
      </c>
    </row>
    <row r="17" spans="1:29" x14ac:dyDescent="0.25">
      <c r="E17" s="8" t="s">
        <v>25</v>
      </c>
      <c r="F17" s="11">
        <f>(H3-H2)/(F2-H2)</f>
        <v>0.40396020613900169</v>
      </c>
      <c r="G17" s="2" t="s">
        <v>69</v>
      </c>
      <c r="T17" s="8" t="s">
        <v>99</v>
      </c>
      <c r="U17" s="9">
        <f>AVERAGE(C2:C3)+(U16/(U16+Q9))*(AVERAGE(B2:B3)-AVERAGE(C2:C3))</f>
        <v>27.133195492546875</v>
      </c>
      <c r="AA17" s="8" t="s">
        <v>110</v>
      </c>
      <c r="AB17" s="20">
        <f>SUM(AB12:AB16)</f>
        <v>6.2083236549467322E-3</v>
      </c>
      <c r="AC17" s="8"/>
    </row>
    <row r="18" spans="1:29" x14ac:dyDescent="0.25">
      <c r="E18" s="8" t="s">
        <v>26</v>
      </c>
      <c r="F18" s="11">
        <f>(F2-F3)/(H3-H2)</f>
        <v>1.8967822351930013</v>
      </c>
      <c r="G18" s="2" t="s">
        <v>67</v>
      </c>
    </row>
    <row r="19" spans="1:29" x14ac:dyDescent="0.25">
      <c r="A19" s="8" t="s">
        <v>136</v>
      </c>
      <c r="B19" s="27" t="s">
        <v>141</v>
      </c>
      <c r="E19" s="8" t="s">
        <v>31</v>
      </c>
      <c r="F19" s="11">
        <f>(2/F17)-1-F18</f>
        <v>2.054200484406377</v>
      </c>
      <c r="K19" s="8" t="s">
        <v>45</v>
      </c>
      <c r="L19" s="16">
        <v>0.54</v>
      </c>
      <c r="M19" s="8">
        <v>21.25</v>
      </c>
      <c r="N19" s="8" t="s">
        <v>44</v>
      </c>
      <c r="T19" s="8" t="s">
        <v>100</v>
      </c>
      <c r="U19" s="21">
        <f>(4*U21*L19*U22*B6*U12^2)/(U10*((B9/0.0008905)^(0.14))*2)</f>
        <v>67007.566340536621</v>
      </c>
    </row>
    <row r="20" spans="1:29" x14ac:dyDescent="0.25">
      <c r="A20" s="8" t="s">
        <v>138</v>
      </c>
      <c r="B20" s="27" t="s">
        <v>139</v>
      </c>
      <c r="E20" s="8" t="s">
        <v>32</v>
      </c>
      <c r="F20" s="11">
        <f>(2/F17)*SQRT((1-F17)*(1-F17*F18))</f>
        <v>1.848112889619473</v>
      </c>
      <c r="K20" s="8" t="s">
        <v>43</v>
      </c>
      <c r="L20" s="16">
        <v>245</v>
      </c>
      <c r="T20" s="8" t="s">
        <v>101</v>
      </c>
      <c r="U20" s="13">
        <f>U19/101325</f>
        <v>0.66131326267492352</v>
      </c>
    </row>
    <row r="21" spans="1:29" x14ac:dyDescent="0.25">
      <c r="A21" s="8"/>
      <c r="B21" s="27" t="s">
        <v>140</v>
      </c>
      <c r="K21" s="8" t="s">
        <v>46</v>
      </c>
      <c r="L21" s="26">
        <f>L20*L6*L5</f>
        <v>62.568239518959018</v>
      </c>
      <c r="T21" s="8" t="s">
        <v>57</v>
      </c>
      <c r="U21" s="11">
        <f>0.5/(U13^(0.2))</f>
        <v>6.9013407413347397E-2</v>
      </c>
    </row>
    <row r="22" spans="1:29" x14ac:dyDescent="0.25">
      <c r="T22" s="8" t="s">
        <v>63</v>
      </c>
      <c r="U22" s="9">
        <f>(L6/U5)</f>
        <v>19.755555555555553</v>
      </c>
    </row>
    <row r="23" spans="1:29" x14ac:dyDescent="0.25">
      <c r="K23" s="2" t="s">
        <v>117</v>
      </c>
      <c r="L23" s="24" t="str">
        <f>IF((L6/L19)&gt;5,IF((L6/L19)&lt;10,"SI","NO"),"NO")</f>
        <v>SI</v>
      </c>
      <c r="M23" s="2" t="s">
        <v>118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F1" workbookViewId="0">
      <selection activeCell="F8" sqref="F8"/>
    </sheetView>
  </sheetViews>
  <sheetFormatPr baseColWidth="10" defaultRowHeight="15" x14ac:dyDescent="0.25"/>
  <cols>
    <col min="1" max="1" width="19.5703125" style="2" customWidth="1"/>
    <col min="2" max="2" width="14.5703125" style="2" bestFit="1" customWidth="1"/>
    <col min="3" max="3" width="15.5703125" style="2" customWidth="1"/>
    <col min="4" max="4" width="11.42578125" style="2"/>
    <col min="5" max="5" width="19.5703125" style="2" customWidth="1"/>
    <col min="6" max="6" width="11.42578125" style="2"/>
    <col min="7" max="7" width="24.140625" style="2" customWidth="1"/>
    <col min="8" max="8" width="11.42578125" style="2"/>
    <col min="9" max="9" width="12.140625" style="2" customWidth="1"/>
    <col min="10" max="10" width="11.42578125" style="2"/>
    <col min="11" max="11" width="34" style="2" customWidth="1"/>
    <col min="12" max="12" width="13.5703125" style="2" bestFit="1" customWidth="1"/>
    <col min="13" max="13" width="14" style="2" customWidth="1"/>
    <col min="14" max="14" width="20" style="2" customWidth="1"/>
    <col min="15" max="15" width="11.42578125" style="2"/>
    <col min="16" max="16" width="18.85546875" style="2" customWidth="1"/>
    <col min="17" max="17" width="11.42578125" style="2"/>
    <col min="18" max="18" width="12.42578125" style="2" customWidth="1"/>
    <col min="19" max="19" width="15.28515625" style="2" bestFit="1" customWidth="1"/>
    <col min="20" max="20" width="24.85546875" style="2" customWidth="1"/>
    <col min="21" max="21" width="11.42578125" style="2"/>
    <col min="22" max="22" width="17" style="2" customWidth="1"/>
    <col min="23" max="23" width="15" style="2" customWidth="1"/>
    <col min="24" max="24" width="17.140625" style="2" bestFit="1" customWidth="1"/>
    <col min="25" max="26" width="11.42578125" style="2"/>
    <col min="27" max="27" width="26.140625" style="2" customWidth="1"/>
    <col min="28" max="28" width="12" style="2" bestFit="1" customWidth="1"/>
    <col min="29" max="29" width="11.42578125" style="2"/>
    <col min="30" max="30" width="18.7109375" style="2" customWidth="1"/>
    <col min="31" max="16384" width="11.42578125" style="2"/>
  </cols>
  <sheetData>
    <row r="1" spans="1:31" x14ac:dyDescent="0.25">
      <c r="A1" s="8" t="s">
        <v>47</v>
      </c>
      <c r="B1" s="8" t="s">
        <v>48</v>
      </c>
      <c r="C1" s="8" t="s">
        <v>49</v>
      </c>
      <c r="E1" s="7" t="s">
        <v>70</v>
      </c>
      <c r="F1" s="7"/>
      <c r="G1" s="7"/>
      <c r="H1" s="7"/>
      <c r="I1" s="7"/>
      <c r="K1" s="7" t="s">
        <v>122</v>
      </c>
      <c r="L1" s="7"/>
      <c r="M1" s="7"/>
      <c r="P1" s="7" t="s">
        <v>123</v>
      </c>
      <c r="Q1" s="7"/>
      <c r="R1" s="7"/>
      <c r="T1" s="7" t="s">
        <v>124</v>
      </c>
      <c r="U1" s="7"/>
      <c r="V1" s="7"/>
      <c r="AA1" s="7" t="s">
        <v>125</v>
      </c>
      <c r="AB1" s="7"/>
      <c r="AC1" s="7"/>
      <c r="AD1" s="7"/>
      <c r="AE1" s="7"/>
    </row>
    <row r="2" spans="1:31" x14ac:dyDescent="0.25">
      <c r="A2" s="8" t="s">
        <v>50</v>
      </c>
      <c r="B2" s="9">
        <f>'Propietats ASPEN'!B16</f>
        <v>57.776090000000003</v>
      </c>
      <c r="C2" s="9">
        <v>15</v>
      </c>
      <c r="E2" s="8" t="s">
        <v>11</v>
      </c>
      <c r="F2" s="9">
        <f>B2</f>
        <v>57.776090000000003</v>
      </c>
      <c r="G2" s="8" t="s">
        <v>13</v>
      </c>
      <c r="H2" s="8">
        <f>C2</f>
        <v>15</v>
      </c>
      <c r="K2" s="8" t="s">
        <v>35</v>
      </c>
      <c r="L2" s="18">
        <f>M2*2.54/100</f>
        <v>1.4833600000000001E-2</v>
      </c>
      <c r="M2" s="16">
        <v>0.58399999999999996</v>
      </c>
      <c r="N2" s="8" t="s">
        <v>44</v>
      </c>
      <c r="P2" s="8" t="s">
        <v>79</v>
      </c>
      <c r="Q2" s="20">
        <f>(L20*PI()*(L2^2)/4)/L9</f>
        <v>6.3941781616698194E-3</v>
      </c>
      <c r="R2" s="2" t="s">
        <v>119</v>
      </c>
      <c r="T2" s="8" t="s">
        <v>92</v>
      </c>
      <c r="U2" s="11">
        <f>L4*(L20/U3)^(1/U4)</f>
        <v>0.28053730748097927</v>
      </c>
      <c r="V2" s="5">
        <f>100*U2/2.54</f>
        <v>11.044775885077923</v>
      </c>
      <c r="W2" s="2" t="s">
        <v>44</v>
      </c>
      <c r="AA2" s="8" t="s">
        <v>134</v>
      </c>
      <c r="AB2" s="8">
        <v>52.5</v>
      </c>
    </row>
    <row r="3" spans="1:31" x14ac:dyDescent="0.25">
      <c r="A3" s="8" t="s">
        <v>51</v>
      </c>
      <c r="B3" s="9">
        <f>'Propietats ASPEN'!C16</f>
        <v>25</v>
      </c>
      <c r="C3" s="9">
        <f>H3</f>
        <v>23.640415286363172</v>
      </c>
      <c r="E3" s="8" t="s">
        <v>12</v>
      </c>
      <c r="F3" s="9">
        <f>B2-F8/F6</f>
        <v>41.387103780136293</v>
      </c>
      <c r="G3" s="8" t="s">
        <v>14</v>
      </c>
      <c r="H3" s="9">
        <f>F8/(H6)+H2</f>
        <v>23.640415286363172</v>
      </c>
      <c r="I3" s="5"/>
      <c r="K3" s="8" t="s">
        <v>37</v>
      </c>
      <c r="L3" s="18">
        <f>(L4-L2)/2</f>
        <v>2.1082000000000002E-3</v>
      </c>
      <c r="M3" s="25" t="str">
        <f>IF(M2&gt;0.5,"SI","NO")</f>
        <v>SI</v>
      </c>
      <c r="N3" s="8" t="s">
        <v>121</v>
      </c>
      <c r="P3" s="8" t="s">
        <v>80</v>
      </c>
      <c r="Q3" s="13">
        <f>B5/(B6*Q2)</f>
        <v>2.0521035122869353</v>
      </c>
      <c r="R3" s="24" t="str">
        <f>IF(Q3&gt;=1,IF(Q3&lt;=2,"SI","NO"),"NO")</f>
        <v>NO</v>
      </c>
      <c r="T3" s="8" t="s">
        <v>90</v>
      </c>
      <c r="U3" s="8">
        <v>0.156</v>
      </c>
      <c r="AA3" s="8" t="s">
        <v>102</v>
      </c>
      <c r="AB3" s="9">
        <f>1/((PI()*L4*L6)*(AB12+AB14+AB16))</f>
        <v>1063.171126788948</v>
      </c>
    </row>
    <row r="4" spans="1:31" x14ac:dyDescent="0.25">
      <c r="A4" s="8" t="s">
        <v>113</v>
      </c>
      <c r="B4" s="9">
        <f>'Propietats ASPEN'!B17</f>
        <v>5.0999999999999996</v>
      </c>
      <c r="C4" s="9">
        <v>2</v>
      </c>
      <c r="E4" s="8" t="s">
        <v>15</v>
      </c>
      <c r="F4" s="9">
        <f>B5</f>
        <v>8.5910111111111114</v>
      </c>
      <c r="G4" s="8" t="s">
        <v>16</v>
      </c>
      <c r="H4" s="10">
        <v>7</v>
      </c>
      <c r="K4" s="8" t="s">
        <v>36</v>
      </c>
      <c r="L4" s="18">
        <f>M4*2.54/100</f>
        <v>1.9050000000000001E-2</v>
      </c>
      <c r="M4" s="16">
        <v>0.75</v>
      </c>
      <c r="N4" s="8" t="s">
        <v>44</v>
      </c>
      <c r="T4" s="8" t="s">
        <v>91</v>
      </c>
      <c r="U4" s="8">
        <v>2.2909999999999999</v>
      </c>
      <c r="AA4" s="8" t="s">
        <v>103</v>
      </c>
      <c r="AB4" s="9">
        <f>1/(PI()*L4*L6*(AB17))</f>
        <v>715.59849608523803</v>
      </c>
    </row>
    <row r="5" spans="1:31" x14ac:dyDescent="0.25">
      <c r="A5" s="8" t="s">
        <v>52</v>
      </c>
      <c r="B5" s="13">
        <f>'Propietats ASPEN'!B14/3600</f>
        <v>8.5910111111111114</v>
      </c>
      <c r="C5" s="9">
        <f>H4</f>
        <v>7</v>
      </c>
      <c r="E5" s="8" t="s">
        <v>18</v>
      </c>
      <c r="F5" s="11">
        <f>B7</f>
        <v>1.7969010000000001</v>
      </c>
      <c r="G5" s="8" t="s">
        <v>17</v>
      </c>
      <c r="H5" s="8">
        <f>C7</f>
        <v>4.1829999999999998</v>
      </c>
      <c r="K5" s="8" t="s">
        <v>73</v>
      </c>
      <c r="L5" s="20">
        <f>PI()*L4</f>
        <v>5.9847340050885559E-2</v>
      </c>
      <c r="M5" s="8"/>
      <c r="N5" s="8"/>
      <c r="P5" s="8" t="s">
        <v>81</v>
      </c>
      <c r="Q5" s="21">
        <f>Q3*L2*B6/B9</f>
        <v>28655.565092229983</v>
      </c>
      <c r="R5" s="24" t="str">
        <f>IF(Q5&gt;4000,IF(Q5&lt;5000000,"SI","NO"),"NO")</f>
        <v>SI</v>
      </c>
      <c r="S5" s="2" t="s">
        <v>131</v>
      </c>
      <c r="T5" s="8" t="s">
        <v>93</v>
      </c>
      <c r="U5" s="13">
        <f>L19/U6</f>
        <v>0.1525</v>
      </c>
    </row>
    <row r="6" spans="1:31" x14ac:dyDescent="0.25">
      <c r="A6" s="8" t="s">
        <v>53</v>
      </c>
      <c r="B6" s="9">
        <f>AVERAGE('Propietats ASPEN'!B19:C19)</f>
        <v>654.72704999999996</v>
      </c>
      <c r="C6" s="8">
        <v>997.4</v>
      </c>
      <c r="E6" s="8" t="s">
        <v>20</v>
      </c>
      <c r="F6" s="11">
        <f>F4*F5</f>
        <v>15.437196456566667</v>
      </c>
      <c r="G6" s="8" t="s">
        <v>21</v>
      </c>
      <c r="H6" s="8">
        <f>H4*H5</f>
        <v>29.280999999999999</v>
      </c>
      <c r="K6" s="8" t="s">
        <v>38</v>
      </c>
      <c r="L6" s="19">
        <f>M6*0.3048</f>
        <v>3.048</v>
      </c>
      <c r="M6" s="16">
        <v>10</v>
      </c>
      <c r="N6" s="8" t="s">
        <v>64</v>
      </c>
      <c r="P6" s="8" t="s">
        <v>82</v>
      </c>
      <c r="Q6" s="13">
        <f>1000*B7*B9/B8</f>
        <v>10.475646651299247</v>
      </c>
      <c r="R6" s="24" t="str">
        <f>IF(Q6&gt;0.5,IF(Q6&lt;1000000,"SI","NO"),"NO")</f>
        <v>SI</v>
      </c>
      <c r="S6" s="2" t="s">
        <v>130</v>
      </c>
      <c r="T6" s="8" t="s">
        <v>94</v>
      </c>
      <c r="U6" s="8">
        <v>2</v>
      </c>
      <c r="V6" s="24" t="str">
        <f>IF(U6&gt;=2,IF(U6&lt;=5,"SI","NO"),"NO")</f>
        <v>SI</v>
      </c>
      <c r="W6" s="2" t="s">
        <v>120</v>
      </c>
      <c r="AA6" s="8" t="s">
        <v>111</v>
      </c>
      <c r="AB6" s="9">
        <f>1000*F8/(F11*F9*AB4)</f>
        <v>12.070151782376563</v>
      </c>
    </row>
    <row r="7" spans="1:31" x14ac:dyDescent="0.25">
      <c r="A7" s="8" t="s">
        <v>54</v>
      </c>
      <c r="B7" s="11">
        <f>AVERAGE('Propietats ASPEN'!B18:C18)</f>
        <v>1.7969010000000001</v>
      </c>
      <c r="C7" s="8">
        <v>4.1829999999999998</v>
      </c>
      <c r="P7" s="8" t="s">
        <v>83</v>
      </c>
      <c r="Q7" s="9">
        <f>((Q11/8)*Q5*Q6)/((1.07+(900/Q5)-(0.63/(1+10*Q6))+12.7*(Q11/8)^(0.5)*(Q6^(2/3)-1)))</f>
        <v>240.80427040362429</v>
      </c>
      <c r="T7" s="8" t="s">
        <v>95</v>
      </c>
      <c r="U7" s="11">
        <f>(L12-L4)*L19*U5/(L12*L10)</f>
        <v>9.3024999999999983E-3</v>
      </c>
      <c r="V7" s="2" t="s">
        <v>96</v>
      </c>
      <c r="AA7" s="8" t="s">
        <v>112</v>
      </c>
      <c r="AB7" s="9">
        <f>L21</f>
        <v>13.49868724315734</v>
      </c>
    </row>
    <row r="8" spans="1:31" x14ac:dyDescent="0.25">
      <c r="A8" s="8" t="s">
        <v>128</v>
      </c>
      <c r="B8" s="8">
        <v>0.1193</v>
      </c>
      <c r="C8" s="8">
        <v>0.59309999999999996</v>
      </c>
      <c r="E8" s="8" t="s">
        <v>19</v>
      </c>
      <c r="F8" s="9">
        <f>506/2</f>
        <v>253</v>
      </c>
      <c r="K8" s="8" t="s">
        <v>74</v>
      </c>
      <c r="L8" s="21">
        <f>F12/(L6*L5)</f>
        <v>66.168608744210118</v>
      </c>
      <c r="P8" s="8" t="s">
        <v>84</v>
      </c>
      <c r="Q8" s="9">
        <f>Q7*B8/L2</f>
        <v>1936.6808771405711</v>
      </c>
      <c r="T8" s="8" t="s">
        <v>58</v>
      </c>
      <c r="U8" s="20">
        <f>L12-L4</f>
        <v>4.7624999999999994E-3</v>
      </c>
      <c r="AA8" s="8" t="s">
        <v>135</v>
      </c>
      <c r="AB8" s="9">
        <f>100*(1-AB6/AB7)</f>
        <v>10.582773236004272</v>
      </c>
      <c r="AC8" s="24" t="str">
        <f>IF(AB8&gt;10,IF(AB8&lt;15,"SI","NO"),"NO")</f>
        <v>SI</v>
      </c>
      <c r="AD8" s="2" t="s">
        <v>127</v>
      </c>
    </row>
    <row r="9" spans="1:31" x14ac:dyDescent="0.25">
      <c r="A9" s="8" t="s">
        <v>55</v>
      </c>
      <c r="B9" s="17">
        <v>6.9550000000000005E-4</v>
      </c>
      <c r="C9" s="17">
        <v>9.1109999999999997E-4</v>
      </c>
      <c r="E9" s="12" t="s">
        <v>22</v>
      </c>
      <c r="F9" s="13">
        <f>((F2-H3)-(F3-H2))/LN((F2-H3)/(F3-H2))</f>
        <v>30.095322126258111</v>
      </c>
      <c r="K9" s="8" t="s">
        <v>66</v>
      </c>
      <c r="L9" s="16">
        <v>2</v>
      </c>
      <c r="P9" s="8" t="s">
        <v>85</v>
      </c>
      <c r="Q9" s="9">
        <f>Q8*(L2/L4)</f>
        <v>1508.0288430001247</v>
      </c>
      <c r="T9" s="8" t="s">
        <v>59</v>
      </c>
      <c r="U9" s="20">
        <f>L19/L12</f>
        <v>12.808398950131233</v>
      </c>
    </row>
    <row r="10" spans="1:31" x14ac:dyDescent="0.25">
      <c r="A10" s="8" t="s">
        <v>56</v>
      </c>
      <c r="B10" s="8">
        <f>0.0002</f>
        <v>2.0000000000000001E-4</v>
      </c>
      <c r="C10" s="22">
        <v>2.0000000000000001E-4</v>
      </c>
      <c r="E10" s="8" t="s">
        <v>23</v>
      </c>
      <c r="F10" s="8">
        <v>715.6</v>
      </c>
      <c r="G10" s="2" t="s">
        <v>129</v>
      </c>
      <c r="K10" s="8" t="s">
        <v>65</v>
      </c>
      <c r="L10" s="8">
        <f>F16</f>
        <v>1</v>
      </c>
      <c r="T10" s="8" t="s">
        <v>60</v>
      </c>
      <c r="U10" s="20">
        <f>L16</f>
        <v>1.884877082375758E-2</v>
      </c>
    </row>
    <row r="11" spans="1:31" x14ac:dyDescent="0.25">
      <c r="E11" s="8" t="s">
        <v>30</v>
      </c>
      <c r="F11" s="11">
        <f>IF(F16=1,F14,F15)</f>
        <v>0.97328353038949855</v>
      </c>
      <c r="G11" s="24" t="str">
        <f>IF(F11&gt;0.8,"SI","NO")</f>
        <v>SI</v>
      </c>
      <c r="H11" s="2" t="s">
        <v>116</v>
      </c>
      <c r="P11" s="8" t="s">
        <v>57</v>
      </c>
      <c r="Q11" s="20">
        <f>(0.79*LN(Q5)-1.64)^(-2)</f>
        <v>2.3904515341376477E-2</v>
      </c>
      <c r="AA11" s="7" t="s">
        <v>126</v>
      </c>
      <c r="AB11" s="7"/>
      <c r="AC11" s="7" t="s">
        <v>109</v>
      </c>
      <c r="AD11" s="7"/>
    </row>
    <row r="12" spans="1:31" x14ac:dyDescent="0.25">
      <c r="E12" s="8" t="s">
        <v>24</v>
      </c>
      <c r="F12" s="9">
        <f>F8*1000/(F10*F9*F11)</f>
        <v>12.070126415580246</v>
      </c>
      <c r="K12" s="8" t="s">
        <v>39</v>
      </c>
      <c r="L12" s="20">
        <f>1.25*L4</f>
        <v>2.38125E-2</v>
      </c>
      <c r="P12" s="8" t="s">
        <v>86</v>
      </c>
      <c r="Q12" s="21">
        <f>(Q11*L6*L9*B6*Q3^2)/(L2*((B9/0.0008365)^(0.14))*2)</f>
        <v>13897.311334014803</v>
      </c>
      <c r="T12" s="8" t="s">
        <v>61</v>
      </c>
      <c r="U12" s="13">
        <f>C5/(C6*U7)</f>
        <v>0.75444745427064974</v>
      </c>
      <c r="AA12" s="8" t="s">
        <v>108</v>
      </c>
      <c r="AB12" s="20">
        <f>1/(PI()*L2*L6*Q8)</f>
        <v>3.6352186397910773E-3</v>
      </c>
      <c r="AC12" s="9">
        <f>AB12*100/$AB$17</f>
        <v>47.452573563619758</v>
      </c>
    </row>
    <row r="13" spans="1:31" x14ac:dyDescent="0.25">
      <c r="A13" s="16"/>
      <c r="B13" s="8" t="s">
        <v>71</v>
      </c>
      <c r="C13" s="8"/>
      <c r="K13" s="8" t="s">
        <v>75</v>
      </c>
      <c r="L13" s="20">
        <f>4*((L12^2-(PI()*L4^2/4)))/(PI()*L4)</f>
        <v>1.884877082375758E-2</v>
      </c>
      <c r="P13" s="8" t="s">
        <v>87</v>
      </c>
      <c r="Q13" s="21">
        <f>(4*L9*B6*Q3^2)/2</f>
        <v>11028.559811416497</v>
      </c>
      <c r="T13" s="8" t="s">
        <v>97</v>
      </c>
      <c r="U13" s="21">
        <f>U12*U10*C6/C9</f>
        <v>15567.373620335973</v>
      </c>
      <c r="V13" s="24" t="str">
        <f>IF(U13&gt;2000,IF(U13&lt;1000000,"SI","NO"),"NO")</f>
        <v>SI</v>
      </c>
      <c r="W13" s="2" t="s">
        <v>133</v>
      </c>
      <c r="AA13" s="8" t="s">
        <v>104</v>
      </c>
      <c r="AB13" s="20">
        <f>B10/(PI()*L2*L6)</f>
        <v>1.4080516847816674E-3</v>
      </c>
      <c r="AC13" s="9">
        <f t="shared" ref="AC13:AC16" si="0">AB13*100/$AB$17</f>
        <v>18.380098358353713</v>
      </c>
    </row>
    <row r="14" spans="1:31" x14ac:dyDescent="0.25">
      <c r="A14" s="16"/>
      <c r="B14" s="8" t="s">
        <v>72</v>
      </c>
      <c r="C14" s="8"/>
      <c r="E14" s="8" t="s">
        <v>28</v>
      </c>
      <c r="F14" s="15">
        <f>(((SQRT(F18^2+1)/(F18-1)))*LN((1-F17)/(1-F17*F18)))/(LN((F19+SQRT(F18^2+1))/(F19-SQRT(F18^2+1))))</f>
        <v>0.97328353038949855</v>
      </c>
      <c r="K14" s="8" t="s">
        <v>76</v>
      </c>
      <c r="L14" s="20">
        <f>4*((L12/2)*0.86*L12-0.5*PI()*L4^2/4)/(PI()*L4/2)</f>
        <v>1.3542942908431516E-2</v>
      </c>
      <c r="M14" s="8" t="s">
        <v>42</v>
      </c>
      <c r="N14" s="8" t="s">
        <v>41</v>
      </c>
      <c r="P14" s="8" t="s">
        <v>88</v>
      </c>
      <c r="Q14" s="21">
        <f>SUM(Q12:Q13)</f>
        <v>24925.871145431302</v>
      </c>
      <c r="T14" s="8" t="s">
        <v>98</v>
      </c>
      <c r="U14" s="13">
        <f>1000*C7*C9/C8</f>
        <v>6.425781992918564</v>
      </c>
      <c r="AA14" s="8" t="s">
        <v>105</v>
      </c>
      <c r="AB14" s="20">
        <f>LN(L4/L2)/(2*PI()*L6*AB2)</f>
        <v>2.4881981018925916E-4</v>
      </c>
      <c r="AC14" s="9">
        <f t="shared" si="0"/>
        <v>3.2479863020757129</v>
      </c>
    </row>
    <row r="15" spans="1:31" x14ac:dyDescent="0.25">
      <c r="A15" s="23"/>
      <c r="B15" s="8" t="s">
        <v>114</v>
      </c>
      <c r="C15" s="8"/>
      <c r="E15" s="14" t="s">
        <v>27</v>
      </c>
      <c r="F15" s="15">
        <f>((SQRT(F18^2+1)/(2*(F18-1)))*LN((1-F17)/(1-F17*F18)))/(LN((F19+F20+SQRT(F18^2+1))/(F19+F20-SQRT(F18^2+1))))</f>
        <v>0.99344576986149236</v>
      </c>
      <c r="K15" s="8" t="s">
        <v>40</v>
      </c>
      <c r="L15" s="16">
        <v>4</v>
      </c>
      <c r="M15" s="8">
        <v>3</v>
      </c>
      <c r="N15" s="8">
        <v>4</v>
      </c>
      <c r="P15" s="8" t="s">
        <v>89</v>
      </c>
      <c r="Q15" s="13">
        <f>Q14/101325</f>
        <v>0.24599922176591466</v>
      </c>
      <c r="T15" s="8" t="s">
        <v>83</v>
      </c>
      <c r="U15" s="9">
        <f>0.36*U13^(0.55)*U14^(1/3)*(C9/0.0008365)^(0.14)</f>
        <v>136.93788601305513</v>
      </c>
      <c r="AA15" s="8" t="s">
        <v>106</v>
      </c>
      <c r="AB15" s="20">
        <f>C10/(PI()*L4*L6)</f>
        <v>1.0964029118833252E-3</v>
      </c>
      <c r="AC15" s="9">
        <f t="shared" si="0"/>
        <v>14.311969921704762</v>
      </c>
    </row>
    <row r="16" spans="1:31" x14ac:dyDescent="0.25">
      <c r="A16" s="23"/>
      <c r="B16" s="8" t="s">
        <v>115</v>
      </c>
      <c r="C16" s="8"/>
      <c r="E16" s="16" t="s">
        <v>29</v>
      </c>
      <c r="F16" s="16">
        <v>1</v>
      </c>
      <c r="G16" s="2" t="s">
        <v>68</v>
      </c>
      <c r="K16" s="8" t="s">
        <v>78</v>
      </c>
      <c r="L16" s="20">
        <f>IF(L15=4,L13,IF(L15=3,L14,0))</f>
        <v>1.884877082375758E-2</v>
      </c>
      <c r="M16" s="14" t="s">
        <v>77</v>
      </c>
      <c r="N16" s="8"/>
      <c r="T16" s="8" t="s">
        <v>62</v>
      </c>
      <c r="U16" s="9">
        <f>U15*C8/U10</f>
        <v>4308.9207754583904</v>
      </c>
      <c r="AA16" s="8" t="s">
        <v>107</v>
      </c>
      <c r="AB16" s="20">
        <f>1/(PI()*L4*L6*U16)</f>
        <v>1.2722477030999576E-3</v>
      </c>
      <c r="AC16" s="9">
        <f t="shared" si="0"/>
        <v>16.607371854246065</v>
      </c>
    </row>
    <row r="17" spans="1:29" x14ac:dyDescent="0.25">
      <c r="E17" s="8" t="s">
        <v>25</v>
      </c>
      <c r="F17" s="11">
        <f>(F3-F2)/(H2-F2)</f>
        <v>0.38313427477508366</v>
      </c>
      <c r="G17" s="2" t="s">
        <v>69</v>
      </c>
      <c r="T17" s="8" t="s">
        <v>99</v>
      </c>
      <c r="U17" s="9">
        <f>AVERAGE(B2:B3)+(U16/(U16+Q9))*(AVERAGE(C2:C3)-AVERAGE(B2:B3))</f>
        <v>25.041236261190605</v>
      </c>
      <c r="AA17" s="8" t="s">
        <v>110</v>
      </c>
      <c r="AB17" s="20">
        <f>SUM(AB12:AB16)</f>
        <v>7.6607407497452859E-3</v>
      </c>
      <c r="AC17" s="8"/>
    </row>
    <row r="18" spans="1:29" x14ac:dyDescent="0.25">
      <c r="E18" s="8" t="s">
        <v>26</v>
      </c>
      <c r="F18" s="11">
        <f>(H2-H3)/(F3-F2)</f>
        <v>0.52720864917750998</v>
      </c>
      <c r="G18" s="2" t="s">
        <v>67</v>
      </c>
    </row>
    <row r="19" spans="1:29" x14ac:dyDescent="0.25">
      <c r="A19" s="8" t="s">
        <v>136</v>
      </c>
      <c r="B19" s="27" t="s">
        <v>137</v>
      </c>
      <c r="E19" s="8" t="s">
        <v>31</v>
      </c>
      <c r="F19" s="11">
        <f>(2/F17)-1-F18</f>
        <v>3.6928933664254693</v>
      </c>
      <c r="K19" s="8" t="s">
        <v>45</v>
      </c>
      <c r="L19" s="16">
        <v>0.30499999999999999</v>
      </c>
      <c r="M19" s="9">
        <f>100*L19/2.54</f>
        <v>12.007874015748031</v>
      </c>
      <c r="N19" s="8" t="s">
        <v>44</v>
      </c>
      <c r="T19" s="8" t="s">
        <v>100</v>
      </c>
      <c r="U19" s="21">
        <f>(4*U21*L19*U22*C6*U12^2)/(U10*((C9/0.0008905)^(0.14))*2)</f>
        <v>26549.461461974523</v>
      </c>
    </row>
    <row r="20" spans="1:29" x14ac:dyDescent="0.25">
      <c r="A20" s="8" t="s">
        <v>138</v>
      </c>
      <c r="B20" s="27" t="s">
        <v>142</v>
      </c>
      <c r="E20" s="8" t="s">
        <v>32</v>
      </c>
      <c r="F20" s="11">
        <f>(2/F17)*SQRT((1-F17)*(1-F17*F18))</f>
        <v>3.66250320878722</v>
      </c>
      <c r="K20" s="8" t="s">
        <v>43</v>
      </c>
      <c r="L20" s="16">
        <v>74</v>
      </c>
      <c r="T20" s="8" t="s">
        <v>101</v>
      </c>
      <c r="U20" s="13">
        <f>U19/101325</f>
        <v>0.26202281235602787</v>
      </c>
    </row>
    <row r="21" spans="1:29" x14ac:dyDescent="0.25">
      <c r="A21" s="8"/>
      <c r="B21" s="27" t="s">
        <v>143</v>
      </c>
      <c r="K21" s="8" t="s">
        <v>46</v>
      </c>
      <c r="L21" s="26">
        <f>L20*L6*L5</f>
        <v>13.49868724315734</v>
      </c>
      <c r="T21" s="8" t="s">
        <v>57</v>
      </c>
      <c r="U21" s="11">
        <f>0.5/(U13^(0.2))</f>
        <v>7.2531546018001117E-2</v>
      </c>
    </row>
    <row r="22" spans="1:29" x14ac:dyDescent="0.25">
      <c r="T22" s="8" t="s">
        <v>63</v>
      </c>
      <c r="U22" s="21">
        <f>(L6/U5)</f>
        <v>19.98688524590164</v>
      </c>
    </row>
    <row r="23" spans="1:29" x14ac:dyDescent="0.25">
      <c r="K23" s="2" t="s">
        <v>117</v>
      </c>
      <c r="L23" s="24" t="str">
        <f>IF((L6/L19)&gt;5,IF((L6/L19)&lt;10,"SI","NO"),"NO")</f>
        <v>SI</v>
      </c>
      <c r="M23" s="2" t="s">
        <v>118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opLeftCell="P1" workbookViewId="0">
      <selection activeCell="X11" sqref="X11"/>
    </sheetView>
  </sheetViews>
  <sheetFormatPr baseColWidth="10" defaultRowHeight="15" x14ac:dyDescent="0.25"/>
  <cols>
    <col min="1" max="1" width="19.5703125" style="2" customWidth="1"/>
    <col min="2" max="2" width="14.5703125" style="2" bestFit="1" customWidth="1"/>
    <col min="3" max="3" width="15.5703125" style="2" customWidth="1"/>
    <col min="4" max="4" width="11.42578125" style="2"/>
    <col min="5" max="5" width="19.5703125" style="2" customWidth="1"/>
    <col min="6" max="6" width="11.42578125" style="2"/>
    <col min="7" max="7" width="24.140625" style="2" customWidth="1"/>
    <col min="8" max="8" width="11.42578125" style="2"/>
    <col min="9" max="9" width="12.140625" style="2" customWidth="1"/>
    <col min="10" max="10" width="11.42578125" style="2"/>
    <col min="11" max="11" width="34" style="2" customWidth="1"/>
    <col min="12" max="12" width="13.5703125" style="2" bestFit="1" customWidth="1"/>
    <col min="13" max="13" width="14" style="2" customWidth="1"/>
    <col min="14" max="14" width="20" style="2" customWidth="1"/>
    <col min="15" max="15" width="11.42578125" style="2"/>
    <col min="16" max="16" width="18.85546875" style="2" customWidth="1"/>
    <col min="17" max="17" width="11.42578125" style="2"/>
    <col min="18" max="18" width="12.42578125" style="2" customWidth="1"/>
    <col min="19" max="19" width="15.28515625" style="2" bestFit="1" customWidth="1"/>
    <col min="20" max="20" width="24.85546875" style="2" customWidth="1"/>
    <col min="21" max="21" width="11.42578125" style="2"/>
    <col min="22" max="22" width="17" style="2" customWidth="1"/>
    <col min="23" max="23" width="14.5703125" style="2" customWidth="1"/>
    <col min="24" max="24" width="17.140625" style="2" bestFit="1" customWidth="1"/>
    <col min="25" max="26" width="11.42578125" style="2"/>
    <col min="27" max="27" width="26.140625" style="2" customWidth="1"/>
    <col min="28" max="29" width="11.42578125" style="2"/>
    <col min="30" max="30" width="17.140625" style="2" bestFit="1" customWidth="1"/>
    <col min="31" max="16384" width="11.42578125" style="2"/>
  </cols>
  <sheetData>
    <row r="1" spans="1:31" x14ac:dyDescent="0.25">
      <c r="A1" s="8" t="s">
        <v>47</v>
      </c>
      <c r="B1" s="8" t="s">
        <v>48</v>
      </c>
      <c r="C1" s="8" t="s">
        <v>49</v>
      </c>
      <c r="E1" s="7" t="s">
        <v>70</v>
      </c>
      <c r="F1" s="7"/>
      <c r="G1" s="7"/>
      <c r="H1" s="7"/>
      <c r="I1" s="7"/>
      <c r="K1" s="7" t="s">
        <v>122</v>
      </c>
      <c r="L1" s="7"/>
      <c r="M1" s="7"/>
      <c r="P1" s="7" t="s">
        <v>123</v>
      </c>
      <c r="Q1" s="7"/>
      <c r="R1" s="7"/>
      <c r="T1" s="7" t="s">
        <v>124</v>
      </c>
      <c r="U1" s="7"/>
      <c r="V1" s="7"/>
      <c r="AA1" s="7" t="s">
        <v>125</v>
      </c>
      <c r="AB1" s="7"/>
      <c r="AC1" s="7"/>
      <c r="AD1" s="7"/>
      <c r="AE1" s="7"/>
    </row>
    <row r="2" spans="1:31" x14ac:dyDescent="0.25">
      <c r="A2" s="8" t="s">
        <v>50</v>
      </c>
      <c r="B2" s="9">
        <f>'Propietats ASPEN'!B16</f>
        <v>57.776090000000003</v>
      </c>
      <c r="C2" s="9">
        <v>15</v>
      </c>
      <c r="E2" s="8" t="s">
        <v>11</v>
      </c>
      <c r="F2" s="9">
        <f>B2</f>
        <v>57.776090000000003</v>
      </c>
      <c r="G2" s="8" t="s">
        <v>13</v>
      </c>
      <c r="H2" s="8">
        <f>C2</f>
        <v>15</v>
      </c>
      <c r="K2" s="8" t="s">
        <v>35</v>
      </c>
      <c r="L2" s="18">
        <f>M2*2.54/100</f>
        <v>1.3462E-2</v>
      </c>
      <c r="M2" s="16">
        <v>0.53</v>
      </c>
      <c r="N2" s="8" t="s">
        <v>44</v>
      </c>
      <c r="P2" s="8" t="s">
        <v>79</v>
      </c>
      <c r="Q2" s="20">
        <f>(L20*PI()*(L2^2)/4)/L9</f>
        <v>6.5473700204104063E-3</v>
      </c>
      <c r="R2" s="2" t="s">
        <v>119</v>
      </c>
      <c r="T2" s="8" t="s">
        <v>92</v>
      </c>
      <c r="U2" s="11">
        <f>L4*(L20/U3)^(1/U4)</f>
        <v>0.30850590281283335</v>
      </c>
      <c r="V2" s="5">
        <f>100*U2/2.54</f>
        <v>12.14590168554462</v>
      </c>
      <c r="W2" s="2" t="s">
        <v>44</v>
      </c>
      <c r="AA2" s="8" t="s">
        <v>134</v>
      </c>
      <c r="AB2" s="8">
        <v>52.5</v>
      </c>
    </row>
    <row r="3" spans="1:31" x14ac:dyDescent="0.25">
      <c r="A3" s="8" t="s">
        <v>51</v>
      </c>
      <c r="B3" s="9">
        <f>'Propietats ASPEN'!C16</f>
        <v>25</v>
      </c>
      <c r="C3" s="9">
        <f>H3</f>
        <v>23.640415286363172</v>
      </c>
      <c r="E3" s="8" t="s">
        <v>12</v>
      </c>
      <c r="F3" s="9">
        <f>F2-F8/F6</f>
        <v>41.387103780136293</v>
      </c>
      <c r="G3" s="8" t="s">
        <v>14</v>
      </c>
      <c r="H3" s="9">
        <f>F8/(H6)+H2</f>
        <v>23.640415286363172</v>
      </c>
      <c r="K3" s="8" t="s">
        <v>37</v>
      </c>
      <c r="L3" s="18">
        <f>(L4-L2)/2</f>
        <v>2.7940000000000005E-3</v>
      </c>
      <c r="M3" s="25" t="str">
        <f>IF(M2&gt;0.5,"SI","NO")</f>
        <v>SI</v>
      </c>
      <c r="N3" s="8" t="s">
        <v>121</v>
      </c>
      <c r="P3" s="8" t="s">
        <v>80</v>
      </c>
      <c r="Q3" s="13">
        <f>C5/(C6*Q2)</f>
        <v>1.0719185598911356</v>
      </c>
      <c r="R3" s="24" t="str">
        <f>IF(Q3&gt;=1,IF(Q3&lt;=2,"SI","NO"),"NO")</f>
        <v>SI</v>
      </c>
      <c r="T3" s="8" t="s">
        <v>90</v>
      </c>
      <c r="U3" s="8">
        <v>0.156</v>
      </c>
      <c r="AA3" s="8" t="s">
        <v>102</v>
      </c>
      <c r="AB3" s="9">
        <f>1/((PI()*L4*L6)*(AB12+AB14+AB16))</f>
        <v>826.49923738333746</v>
      </c>
    </row>
    <row r="4" spans="1:31" x14ac:dyDescent="0.25">
      <c r="A4" s="8" t="s">
        <v>113</v>
      </c>
      <c r="B4" s="9">
        <f>'Propietats ASPEN'!B17</f>
        <v>5.0999999999999996</v>
      </c>
      <c r="C4" s="9">
        <v>2</v>
      </c>
      <c r="E4" s="8" t="s">
        <v>15</v>
      </c>
      <c r="F4" s="9">
        <f>B5</f>
        <v>8.5910111111111114</v>
      </c>
      <c r="G4" s="8" t="s">
        <v>16</v>
      </c>
      <c r="H4" s="10">
        <v>7</v>
      </c>
      <c r="K4" s="8" t="s">
        <v>36</v>
      </c>
      <c r="L4" s="18">
        <f>M4*2.54/100</f>
        <v>1.9050000000000001E-2</v>
      </c>
      <c r="M4" s="16">
        <v>0.75</v>
      </c>
      <c r="N4" s="8" t="s">
        <v>44</v>
      </c>
      <c r="T4" s="8" t="s">
        <v>91</v>
      </c>
      <c r="U4" s="8">
        <v>2.2909999999999999</v>
      </c>
      <c r="AA4" s="8" t="s">
        <v>103</v>
      </c>
      <c r="AB4" s="9">
        <f>1/(PI()*L4*L6*(AB17))</f>
        <v>590.68792090052136</v>
      </c>
    </row>
    <row r="5" spans="1:31" x14ac:dyDescent="0.25">
      <c r="A5" s="8" t="s">
        <v>52</v>
      </c>
      <c r="B5" s="13">
        <f>'Propietats ASPEN'!B14/3600</f>
        <v>8.5910111111111114</v>
      </c>
      <c r="C5" s="9">
        <f>H4</f>
        <v>7</v>
      </c>
      <c r="E5" s="8" t="s">
        <v>18</v>
      </c>
      <c r="F5" s="11">
        <f>B7</f>
        <v>1.7969010000000001</v>
      </c>
      <c r="G5" s="8" t="s">
        <v>17</v>
      </c>
      <c r="H5" s="8">
        <f>C7</f>
        <v>4.1829999999999998</v>
      </c>
      <c r="K5" s="8" t="s">
        <v>73</v>
      </c>
      <c r="L5" s="20">
        <f>PI()*L4</f>
        <v>5.9847340050885559E-2</v>
      </c>
      <c r="M5" s="8"/>
      <c r="N5" s="8"/>
      <c r="P5" s="8" t="s">
        <v>81</v>
      </c>
      <c r="Q5" s="21">
        <f>Q3*L2*C6/C9</f>
        <v>15797.002762985408</v>
      </c>
      <c r="R5" s="24" t="str">
        <f>IF(Q5&gt;4000,IF(Q5&lt;5000000,"SI","NO"),"NO")</f>
        <v>SI</v>
      </c>
      <c r="S5" s="2" t="s">
        <v>132</v>
      </c>
      <c r="T5" s="8" t="s">
        <v>93</v>
      </c>
      <c r="U5" s="13">
        <f>L19/U6</f>
        <v>0.16850000000000001</v>
      </c>
    </row>
    <row r="6" spans="1:31" x14ac:dyDescent="0.25">
      <c r="A6" s="8" t="s">
        <v>53</v>
      </c>
      <c r="B6" s="9">
        <f>AVERAGE('Propietats ASPEN'!B19:C19)</f>
        <v>654.72704999999996</v>
      </c>
      <c r="C6" s="8">
        <v>997.4</v>
      </c>
      <c r="E6" s="8" t="s">
        <v>20</v>
      </c>
      <c r="F6" s="11">
        <f>F4*F5</f>
        <v>15.437196456566667</v>
      </c>
      <c r="G6" s="8" t="s">
        <v>21</v>
      </c>
      <c r="H6" s="8">
        <f>H4*H5</f>
        <v>29.280999999999999</v>
      </c>
      <c r="K6" s="8" t="s">
        <v>38</v>
      </c>
      <c r="L6" s="19">
        <f>M6*0.3048</f>
        <v>3.048</v>
      </c>
      <c r="M6" s="16">
        <v>10</v>
      </c>
      <c r="N6" s="8" t="s">
        <v>64</v>
      </c>
      <c r="P6" s="8" t="s">
        <v>82</v>
      </c>
      <c r="Q6" s="13">
        <f>1000*C7*C9/C8</f>
        <v>6.425781992918564</v>
      </c>
      <c r="R6" s="24" t="str">
        <f>IF(Q6&gt;0.5,IF(Q6&lt;1000000,"SI","NO"),"NO")</f>
        <v>SI</v>
      </c>
      <c r="S6" s="2" t="s">
        <v>130</v>
      </c>
      <c r="T6" s="8" t="s">
        <v>94</v>
      </c>
      <c r="U6" s="8">
        <v>2</v>
      </c>
      <c r="V6" s="24" t="str">
        <f>IF(U6&gt;=2,IF(U6&lt;=5,"SI","NO"),"NO")</f>
        <v>SI</v>
      </c>
      <c r="W6" s="2" t="s">
        <v>120</v>
      </c>
      <c r="AA6" s="8" t="s">
        <v>111</v>
      </c>
      <c r="AB6" s="9">
        <f>1000*F8/(F11*F9*AB4)</f>
        <v>14.622581836143318</v>
      </c>
    </row>
    <row r="7" spans="1:31" x14ac:dyDescent="0.25">
      <c r="A7" s="8" t="s">
        <v>54</v>
      </c>
      <c r="B7" s="11">
        <f>AVERAGE('Propietats ASPEN'!B18:C18)</f>
        <v>1.7969010000000001</v>
      </c>
      <c r="C7" s="8">
        <v>4.1829999999999998</v>
      </c>
      <c r="P7" s="8" t="s">
        <v>83</v>
      </c>
      <c r="Q7" s="9">
        <f>((Q11/8)*Q5*Q6)/((1.07+(900/Q5)-(0.63/(1+10*Q6))+12.7*(Q11/8)^(0.5)*(Q6^(2/3)-1)))</f>
        <v>119.32532784879443</v>
      </c>
      <c r="T7" s="8" t="s">
        <v>95</v>
      </c>
      <c r="U7" s="11">
        <f>(L12-L4)*L19*U5/(L12*L10)</f>
        <v>1.1356900000000001E-2</v>
      </c>
      <c r="V7" s="2" t="s">
        <v>96</v>
      </c>
      <c r="AA7" s="8" t="s">
        <v>112</v>
      </c>
      <c r="AB7" s="9">
        <f>L21</f>
        <v>16.782151707709126</v>
      </c>
    </row>
    <row r="8" spans="1:31" x14ac:dyDescent="0.25">
      <c r="A8" s="8" t="s">
        <v>128</v>
      </c>
      <c r="B8" s="8">
        <v>0.1193</v>
      </c>
      <c r="C8" s="8">
        <v>0.59309999999999996</v>
      </c>
      <c r="E8" s="8" t="s">
        <v>19</v>
      </c>
      <c r="F8" s="9">
        <f>506/2</f>
        <v>253</v>
      </c>
      <c r="K8" s="8" t="s">
        <v>74</v>
      </c>
      <c r="L8" s="21">
        <f>F12/(L6*L5)</f>
        <v>80.159567322425545</v>
      </c>
      <c r="P8" s="8" t="s">
        <v>84</v>
      </c>
      <c r="Q8" s="9">
        <f>Q7*C8/L2</f>
        <v>5257.1573278205296</v>
      </c>
      <c r="T8" s="8" t="s">
        <v>58</v>
      </c>
      <c r="U8" s="20">
        <f>L12-L4</f>
        <v>4.7624999999999994E-3</v>
      </c>
      <c r="AA8" s="8" t="s">
        <v>135</v>
      </c>
      <c r="AB8" s="9">
        <f>100*(1-AB6/AB7)</f>
        <v>12.868253780436135</v>
      </c>
      <c r="AC8" s="24" t="str">
        <f>IF(AB8&gt;10,IF(AB8&lt;15,"SI","NO"),"NO")</f>
        <v>SI</v>
      </c>
      <c r="AD8" s="2" t="s">
        <v>127</v>
      </c>
    </row>
    <row r="9" spans="1:31" x14ac:dyDescent="0.25">
      <c r="A9" s="8" t="s">
        <v>55</v>
      </c>
      <c r="B9" s="17">
        <v>6.9550000000000005E-4</v>
      </c>
      <c r="C9" s="17">
        <v>9.1109999999999997E-4</v>
      </c>
      <c r="E9" s="12" t="s">
        <v>22</v>
      </c>
      <c r="F9" s="13">
        <f>((F2-H3)-(F3-H2))/LN((F2-H3)/(F3-H2))</f>
        <v>30.095322126258111</v>
      </c>
      <c r="K9" s="8" t="s">
        <v>66</v>
      </c>
      <c r="L9" s="16">
        <v>2</v>
      </c>
      <c r="P9" s="8" t="s">
        <v>85</v>
      </c>
      <c r="Q9" s="9">
        <f>Q8*(L2/L4)</f>
        <v>3715.0578449931741</v>
      </c>
      <c r="T9" s="8" t="s">
        <v>59</v>
      </c>
      <c r="U9" s="20">
        <f>L19/L12</f>
        <v>14.15223097112861</v>
      </c>
    </row>
    <row r="10" spans="1:31" x14ac:dyDescent="0.25">
      <c r="A10" s="8" t="s">
        <v>56</v>
      </c>
      <c r="B10" s="8">
        <f>0.0002</f>
        <v>2.0000000000000001E-4</v>
      </c>
      <c r="C10" s="22">
        <v>2.0000000000000001E-4</v>
      </c>
      <c r="E10" s="8" t="s">
        <v>23</v>
      </c>
      <c r="F10" s="8">
        <v>590.70000000000005</v>
      </c>
      <c r="G10" s="2" t="s">
        <v>129</v>
      </c>
      <c r="K10" s="8" t="s">
        <v>65</v>
      </c>
      <c r="L10" s="8">
        <f>F16</f>
        <v>1</v>
      </c>
      <c r="T10" s="8" t="s">
        <v>60</v>
      </c>
      <c r="U10" s="20">
        <f>L16</f>
        <v>1.884877082375758E-2</v>
      </c>
    </row>
    <row r="11" spans="1:31" x14ac:dyDescent="0.25">
      <c r="E11" s="8" t="s">
        <v>30</v>
      </c>
      <c r="F11" s="11">
        <f>IF(F16=1,F14,F15)</f>
        <v>0.97328353038949833</v>
      </c>
      <c r="G11" s="24" t="str">
        <f>IF(F11&gt;0.8,"SI","NO")</f>
        <v>SI</v>
      </c>
      <c r="H11" s="2" t="s">
        <v>116</v>
      </c>
      <c r="P11" s="8" t="s">
        <v>57</v>
      </c>
      <c r="Q11" s="20">
        <f>(0.79*LN(Q5)-1.64)^(-2)</f>
        <v>2.7802009852381408E-2</v>
      </c>
      <c r="AA11" s="7" t="s">
        <v>126</v>
      </c>
      <c r="AB11" s="7"/>
      <c r="AC11" s="7" t="s">
        <v>109</v>
      </c>
      <c r="AD11" s="7"/>
    </row>
    <row r="12" spans="1:31" x14ac:dyDescent="0.25">
      <c r="E12" s="8" t="s">
        <v>24</v>
      </c>
      <c r="F12" s="9">
        <f>F8*1000/(F10*F9*F11)</f>
        <v>14.622282822057263</v>
      </c>
      <c r="K12" s="8" t="s">
        <v>39</v>
      </c>
      <c r="L12" s="20">
        <f>1.25*L4</f>
        <v>2.38125E-2</v>
      </c>
      <c r="P12" s="8" t="s">
        <v>86</v>
      </c>
      <c r="Q12" s="21">
        <f>(Q11*L6*L9*C6*Q3^2)/(L2*((C9/0.0008552)^(0.14))*2)</f>
        <v>7150.3079247693677</v>
      </c>
      <c r="T12" s="8" t="s">
        <v>61</v>
      </c>
      <c r="U12" s="13">
        <f>B5/(B6*U7)</f>
        <v>1.1553782690479846</v>
      </c>
      <c r="AA12" s="8" t="s">
        <v>108</v>
      </c>
      <c r="AB12" s="20">
        <f>1/(PI()*L2*L6*Q8)</f>
        <v>1.4756202428462316E-3</v>
      </c>
      <c r="AC12" s="9">
        <f>AB12*100/$AB$17</f>
        <v>15.899831053683275</v>
      </c>
    </row>
    <row r="13" spans="1:31" x14ac:dyDescent="0.25">
      <c r="A13" s="16"/>
      <c r="B13" s="8" t="s">
        <v>71</v>
      </c>
      <c r="C13" s="8"/>
      <c r="K13" s="8" t="s">
        <v>75</v>
      </c>
      <c r="L13" s="20">
        <f>4*((L12^2-(PI()*L4^2/4)))/(PI()*L4)</f>
        <v>1.884877082375758E-2</v>
      </c>
      <c r="P13" s="8" t="s">
        <v>87</v>
      </c>
      <c r="Q13" s="21">
        <f>(4*L9*C6*Q3^2)/2</f>
        <v>4584.0878984063384</v>
      </c>
      <c r="T13" s="8" t="s">
        <v>97</v>
      </c>
      <c r="U13" s="21">
        <f>U12*U10*B6/B9</f>
        <v>20500.779695901168</v>
      </c>
      <c r="V13" s="24" t="str">
        <f>IF(U13&gt;2000,IF(U13&lt;1000000,"SI","NO"),"NO")</f>
        <v>SI</v>
      </c>
      <c r="W13" s="2" t="s">
        <v>133</v>
      </c>
      <c r="AA13" s="8" t="s">
        <v>104</v>
      </c>
      <c r="AB13" s="20">
        <f>B10/(PI()*L2*L6)</f>
        <v>1.5515135545518751E-3</v>
      </c>
      <c r="AC13" s="9">
        <f t="shared" ref="AC13:AC16" si="0">AB13*100/$AB$17</f>
        <v>16.717582666995888</v>
      </c>
    </row>
    <row r="14" spans="1:31" x14ac:dyDescent="0.25">
      <c r="A14" s="16"/>
      <c r="B14" s="8" t="s">
        <v>72</v>
      </c>
      <c r="C14" s="8"/>
      <c r="E14" s="8" t="s">
        <v>28</v>
      </c>
      <c r="F14" s="15">
        <f>(((SQRT(F18^2+1)/(F18-1)))*LN((1-F17)/(1-F17*F18)))/(LN((F19+SQRT(F18^2+1))/(F19-SQRT(F18^2+1))))</f>
        <v>0.97328353038949833</v>
      </c>
      <c r="K14" s="8" t="s">
        <v>76</v>
      </c>
      <c r="L14" s="20">
        <f>4*((L12/2)*0.86*L12-0.5*PI()*L4^2/4)/(PI()*L4/2)</f>
        <v>1.3542942908431516E-2</v>
      </c>
      <c r="M14" s="8" t="s">
        <v>42</v>
      </c>
      <c r="N14" s="8" t="s">
        <v>41</v>
      </c>
      <c r="P14" s="8" t="s">
        <v>88</v>
      </c>
      <c r="Q14" s="21">
        <f>SUM(Q12:Q13)</f>
        <v>11734.395823175706</v>
      </c>
      <c r="T14" s="8" t="s">
        <v>98</v>
      </c>
      <c r="U14" s="13">
        <f>1000*B7*B9/B8</f>
        <v>10.475646651299247</v>
      </c>
      <c r="AA14" s="8" t="s">
        <v>105</v>
      </c>
      <c r="AB14" s="20">
        <f>LN(L4/L2)/(2*PI()*L6*AB2)</f>
        <v>3.4531928165357998E-4</v>
      </c>
      <c r="AC14" s="9">
        <f t="shared" si="0"/>
        <v>3.7208206274541711</v>
      </c>
    </row>
    <row r="15" spans="1:31" x14ac:dyDescent="0.25">
      <c r="A15" s="23"/>
      <c r="B15" s="8" t="s">
        <v>114</v>
      </c>
      <c r="C15" s="8"/>
      <c r="E15" s="14" t="s">
        <v>27</v>
      </c>
      <c r="F15" s="15">
        <f>((SQRT(F18^2+1)/(2*(F18-1)))*LN((1-F17)/(1-F17*F18)))/(LN((F19+F20+SQRT(F18^2+1))/(F19+F20-SQRT(F18^2+1))))</f>
        <v>0.99344576986149202</v>
      </c>
      <c r="K15" s="8" t="s">
        <v>40</v>
      </c>
      <c r="L15" s="16">
        <v>4</v>
      </c>
      <c r="M15" s="8">
        <v>3</v>
      </c>
      <c r="N15" s="8">
        <v>4</v>
      </c>
      <c r="P15" s="8" t="s">
        <v>89</v>
      </c>
      <c r="Q15" s="13">
        <f>Q14/101325</f>
        <v>0.11580948258747305</v>
      </c>
      <c r="T15" s="8" t="s">
        <v>83</v>
      </c>
      <c r="U15" s="9">
        <f>0.36*U13^(0.55)*U14^(1/3)*(B9/0.0008552)^(0.14)</f>
        <v>179.99838615292475</v>
      </c>
      <c r="AA15" s="8" t="s">
        <v>106</v>
      </c>
      <c r="AB15" s="20">
        <f>C10/(PI()*L4*L6)</f>
        <v>1.0964029118833252E-3</v>
      </c>
      <c r="AC15" s="9">
        <f t="shared" si="0"/>
        <v>11.813758418010428</v>
      </c>
    </row>
    <row r="16" spans="1:31" x14ac:dyDescent="0.25">
      <c r="A16" s="23"/>
      <c r="B16" s="8" t="s">
        <v>115</v>
      </c>
      <c r="C16" s="8"/>
      <c r="E16" s="16" t="s">
        <v>29</v>
      </c>
      <c r="F16" s="16">
        <v>1</v>
      </c>
      <c r="G16" s="2" t="s">
        <v>68</v>
      </c>
      <c r="K16" s="8" t="s">
        <v>78</v>
      </c>
      <c r="L16" s="20">
        <f>IF(L15=4,L13,IF(L15=3,L14,0))</f>
        <v>1.884877082375758E-2</v>
      </c>
      <c r="M16" s="14" t="s">
        <v>77</v>
      </c>
      <c r="N16" s="8"/>
      <c r="T16" s="8" t="s">
        <v>62</v>
      </c>
      <c r="U16" s="9">
        <f>U15*B8/U10</f>
        <v>1139.2683198724908</v>
      </c>
      <c r="AA16" s="8" t="s">
        <v>107</v>
      </c>
      <c r="AB16" s="20">
        <f>1/(PI()*L4*L6*U16)</f>
        <v>4.8118730801100336E-3</v>
      </c>
      <c r="AC16" s="9">
        <f t="shared" si="0"/>
        <v>51.848007233856229</v>
      </c>
    </row>
    <row r="17" spans="1:29" x14ac:dyDescent="0.25">
      <c r="E17" s="8" t="s">
        <v>25</v>
      </c>
      <c r="F17" s="11">
        <f>(H3-H2)/(F2-H2)</f>
        <v>0.20199170345777681</v>
      </c>
      <c r="G17" s="2" t="s">
        <v>69</v>
      </c>
      <c r="T17" s="8" t="s">
        <v>99</v>
      </c>
      <c r="U17" s="9">
        <f>AVERAGE(C2:C3)+(U16/(U16+Q9))*(AVERAGE(B2:B3)-AVERAGE(C2:C3))</f>
        <v>24.49933799719183</v>
      </c>
      <c r="AA17" s="8" t="s">
        <v>110</v>
      </c>
      <c r="AB17" s="20">
        <f>SUM(AB12:AB16)</f>
        <v>9.2807290710450463E-3</v>
      </c>
      <c r="AC17" s="8"/>
    </row>
    <row r="18" spans="1:29" x14ac:dyDescent="0.25">
      <c r="E18" s="8" t="s">
        <v>26</v>
      </c>
      <c r="F18" s="11">
        <f>(F2-F3)/(H3-H2)</f>
        <v>1.8967822351930008</v>
      </c>
      <c r="G18" s="2" t="s">
        <v>67</v>
      </c>
    </row>
    <row r="19" spans="1:29" x14ac:dyDescent="0.25">
      <c r="A19" s="8" t="s">
        <v>136</v>
      </c>
      <c r="B19" s="27" t="s">
        <v>141</v>
      </c>
      <c r="E19" s="8" t="s">
        <v>31</v>
      </c>
      <c r="F19" s="11">
        <f>(2/F17)-1-F18</f>
        <v>7.0046145338979056</v>
      </c>
      <c r="K19" s="8" t="s">
        <v>45</v>
      </c>
      <c r="L19" s="16">
        <v>0.33700000000000002</v>
      </c>
      <c r="M19" s="9">
        <f>100*L19/2.54</f>
        <v>13.267716535433072</v>
      </c>
      <c r="N19" s="8" t="s">
        <v>44</v>
      </c>
      <c r="T19" s="8" t="s">
        <v>100</v>
      </c>
      <c r="U19" s="21">
        <f>(4*U21*L19*U22*B6*U12^2)/(U10*((B9/0.0008905)^(0.14))*2)</f>
        <v>40173.870282009782</v>
      </c>
    </row>
    <row r="20" spans="1:29" x14ac:dyDescent="0.25">
      <c r="A20" s="8" t="s">
        <v>138</v>
      </c>
      <c r="B20" s="27" t="s">
        <v>142</v>
      </c>
      <c r="E20" s="8" t="s">
        <v>32</v>
      </c>
      <c r="F20" s="11">
        <f>(2/F17)*SQRT((1-F17)*(1-F17*F18))</f>
        <v>6.9469710227649593</v>
      </c>
      <c r="K20" s="8" t="s">
        <v>43</v>
      </c>
      <c r="L20" s="16">
        <v>92</v>
      </c>
      <c r="T20" s="8" t="s">
        <v>101</v>
      </c>
      <c r="U20" s="13">
        <f>U19/101325</f>
        <v>0.39648527295346442</v>
      </c>
    </row>
    <row r="21" spans="1:29" x14ac:dyDescent="0.25">
      <c r="A21" s="8"/>
      <c r="B21" s="27" t="s">
        <v>143</v>
      </c>
      <c r="K21" s="8" t="s">
        <v>46</v>
      </c>
      <c r="L21" s="26">
        <f>L20*L6*L5</f>
        <v>16.782151707709126</v>
      </c>
      <c r="T21" s="8" t="s">
        <v>57</v>
      </c>
      <c r="U21" s="11">
        <f>0.5/(U13^(0.2))</f>
        <v>6.8646109477099107E-2</v>
      </c>
    </row>
    <row r="22" spans="1:29" x14ac:dyDescent="0.25">
      <c r="T22" s="8" t="s">
        <v>63</v>
      </c>
      <c r="U22" s="9">
        <f>(L6/U5)</f>
        <v>18.089020771513351</v>
      </c>
    </row>
    <row r="23" spans="1:29" x14ac:dyDescent="0.25">
      <c r="K23" s="2" t="s">
        <v>117</v>
      </c>
      <c r="L23" s="24" t="str">
        <f>IF((L6/L19)&gt;5,IF((L6/L19)&lt;10,"SI","NO"),"NO")</f>
        <v>SI</v>
      </c>
      <c r="M23" s="2" t="s">
        <v>118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Propietats ASPEN</vt:lpstr>
      <vt:lpstr>Fhot tubs (2 pas carcassa)</vt:lpstr>
      <vt:lpstr>Fhot Carc. (2 pas carcassa)</vt:lpstr>
      <vt:lpstr>Fhot tub (1 pas carcassa)</vt:lpstr>
      <vt:lpstr>Fhot Carc. (1 pas carcassa)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URV</cp:lastModifiedBy>
  <dcterms:created xsi:type="dcterms:W3CDTF">2015-03-28T13:54:04Z</dcterms:created>
  <dcterms:modified xsi:type="dcterms:W3CDTF">2015-05-06T16:08:31Z</dcterms:modified>
</cp:coreProperties>
</file>